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docs.live.net/082df802d50d7b3e/Bureau/"/>
    </mc:Choice>
  </mc:AlternateContent>
  <xr:revisionPtr revIDLastSave="0" documentId="8_{EA963565-B903-4B30-B6DE-F67D895437DF}" xr6:coauthVersionLast="47" xr6:coauthVersionMax="47" xr10:uidLastSave="{00000000-0000-0000-0000-000000000000}"/>
  <bookViews>
    <workbookView xWindow="-108" yWindow="-108" windowWidth="23256" windowHeight="12456" tabRatio="220" xr2:uid="{00000000-000D-0000-FFFF-FFFF00000000}"/>
  </bookViews>
  <sheets>
    <sheet name="Base" sheetId="1" r:id="rId1"/>
    <sheet name="Budget" sheetId="3" r:id="rId2"/>
    <sheet name="Prévision pour MAIRIE" sheetId="2" r:id="rId3"/>
  </sheets>
  <externalReferences>
    <externalReference r:id="rId4"/>
  </externalReferences>
  <definedNames>
    <definedName name="_xlnm._FilterDatabase" localSheetId="0" hidden="1">Base!$AA$57:$AB$57</definedName>
    <definedName name="_xlnm.Print_Area" localSheetId="0">Base!$A$1:$Y$91</definedName>
    <definedName name="_xlnm.Print_Area" localSheetId="2">'Prévision pour MAIRIE'!$A$1:$D$48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6" i="1" l="1"/>
  <c r="Y78" i="1" s="1"/>
  <c r="Y57" i="1"/>
  <c r="Y26" i="1"/>
  <c r="W64" i="1"/>
  <c r="W78" i="1" s="1"/>
  <c r="W76" i="1"/>
  <c r="W26" i="1"/>
  <c r="V26" i="1"/>
  <c r="W57" i="1"/>
  <c r="Y60" i="1" l="1"/>
  <c r="W60" i="1"/>
  <c r="V76" i="1" l="1"/>
  <c r="V57" i="1"/>
  <c r="T76" i="1"/>
  <c r="T64" i="1"/>
  <c r="T51" i="1"/>
  <c r="T50" i="1"/>
  <c r="T49" i="1"/>
  <c r="T48" i="1"/>
  <c r="T46" i="1"/>
  <c r="T42" i="1"/>
  <c r="T39" i="1"/>
  <c r="T38" i="1"/>
  <c r="T34" i="1"/>
  <c r="T32" i="1"/>
  <c r="T30" i="1"/>
  <c r="T25" i="1"/>
  <c r="T24" i="1"/>
  <c r="T22" i="1"/>
  <c r="T20" i="1"/>
  <c r="T19" i="1"/>
  <c r="T17" i="1"/>
  <c r="T16" i="1"/>
  <c r="T11" i="1"/>
  <c r="Q24" i="1"/>
  <c r="S76" i="1"/>
  <c r="S78" i="1" s="1"/>
  <c r="R76" i="1"/>
  <c r="Q76" i="1"/>
  <c r="R57" i="1"/>
  <c r="Q57" i="1"/>
  <c r="S51" i="1"/>
  <c r="S50" i="1"/>
  <c r="S49" i="1"/>
  <c r="S48" i="1"/>
  <c r="S46" i="1"/>
  <c r="S42" i="1"/>
  <c r="S39" i="1"/>
  <c r="S38" i="1"/>
  <c r="S34" i="1"/>
  <c r="S32" i="1"/>
  <c r="S31" i="1"/>
  <c r="S30" i="1"/>
  <c r="S29" i="1"/>
  <c r="R26" i="1"/>
  <c r="Q26" i="1"/>
  <c r="Q61" i="1" s="1"/>
  <c r="S25" i="1"/>
  <c r="Q25" i="1"/>
  <c r="S24" i="1"/>
  <c r="S23" i="1"/>
  <c r="S22" i="1"/>
  <c r="S21" i="1"/>
  <c r="S20" i="1"/>
  <c r="S19" i="1"/>
  <c r="S17" i="1"/>
  <c r="S16" i="1"/>
  <c r="S15" i="1"/>
  <c r="S11" i="1"/>
  <c r="S6" i="1"/>
  <c r="R60" i="1" l="1"/>
  <c r="R66" i="1" s="1"/>
  <c r="S64" i="1" s="1"/>
  <c r="S26" i="1"/>
  <c r="R78" i="1"/>
  <c r="V60" i="1"/>
  <c r="S57" i="1"/>
  <c r="S60" i="1" s="1"/>
  <c r="T26" i="1"/>
  <c r="T57" i="1"/>
  <c r="T61" i="1" l="1"/>
  <c r="T66" i="1" s="1"/>
  <c r="V64" i="1" l="1"/>
  <c r="V66" i="1" s="1"/>
  <c r="V78" i="1" s="1"/>
  <c r="T78" i="1"/>
  <c r="D27" i="2" l="1"/>
  <c r="D19" i="2" s="1"/>
  <c r="D39" i="3"/>
  <c r="B39" i="3" s="1"/>
  <c r="D27" i="3" l="1"/>
  <c r="B4" i="2"/>
  <c r="C4" i="2"/>
  <c r="B4" i="3"/>
  <c r="C4" i="3"/>
  <c r="H6" i="1" l="1"/>
  <c r="M6" i="1"/>
  <c r="M26" i="1" s="1"/>
  <c r="O6" i="1"/>
  <c r="O26" i="1" s="1"/>
  <c r="P6" i="1"/>
  <c r="P26" i="1" s="1"/>
  <c r="D19" i="3"/>
  <c r="C18" i="1"/>
  <c r="C26" i="1" s="1"/>
  <c r="B26" i="1"/>
  <c r="D26" i="1"/>
  <c r="E26" i="1"/>
  <c r="F26" i="1"/>
  <c r="G26" i="1"/>
  <c r="H26" i="1"/>
  <c r="I26" i="1"/>
  <c r="J26" i="1"/>
  <c r="K26" i="1"/>
  <c r="L26" i="1"/>
  <c r="N26" i="1"/>
  <c r="I29" i="1"/>
  <c r="B31" i="1"/>
  <c r="K33" i="1"/>
  <c r="P35" i="1"/>
  <c r="H41" i="1"/>
  <c r="L41" i="1"/>
  <c r="M41" i="1"/>
  <c r="O41" i="1"/>
  <c r="P41" i="1"/>
  <c r="B18" i="3"/>
  <c r="F44" i="1"/>
  <c r="H44" i="1"/>
  <c r="L44" i="1"/>
  <c r="M44" i="1"/>
  <c r="M57" i="1" s="1"/>
  <c r="M60" i="1" s="1"/>
  <c r="P44" i="1"/>
  <c r="F45" i="1"/>
  <c r="P45" i="1"/>
  <c r="B49" i="1"/>
  <c r="C49" i="1"/>
  <c r="C57" i="1" s="1"/>
  <c r="D49" i="1"/>
  <c r="D57" i="1" s="1"/>
  <c r="F50" i="1"/>
  <c r="H53" i="1"/>
  <c r="P54" i="1"/>
  <c r="E57" i="1"/>
  <c r="E60" i="1" s="1"/>
  <c r="G57" i="1"/>
  <c r="G60" i="1" s="1"/>
  <c r="I57" i="1"/>
  <c r="I61" i="1" s="1"/>
  <c r="J57" i="1"/>
  <c r="K57" i="1"/>
  <c r="N57" i="1"/>
  <c r="O57" i="1"/>
  <c r="H65" i="1"/>
  <c r="E68" i="1"/>
  <c r="G74" i="1"/>
  <c r="H74" i="1"/>
  <c r="I74" i="1"/>
  <c r="B76" i="1"/>
  <c r="C76" i="1"/>
  <c r="D76" i="1"/>
  <c r="E76" i="1"/>
  <c r="F76" i="1"/>
  <c r="G76" i="1"/>
  <c r="H76" i="1"/>
  <c r="I76" i="1"/>
  <c r="J76" i="1"/>
  <c r="K76" i="1"/>
  <c r="L76" i="1"/>
  <c r="M76" i="1"/>
  <c r="N76" i="1"/>
  <c r="O76" i="1"/>
  <c r="P76" i="1"/>
  <c r="D82" i="1"/>
  <c r="D84" i="1"/>
  <c r="G84" i="1"/>
  <c r="G86" i="1" s="1"/>
  <c r="B86" i="1"/>
  <c r="C86" i="1"/>
  <c r="E86" i="1"/>
  <c r="F86" i="1"/>
  <c r="H86" i="1"/>
  <c r="I86" i="1"/>
  <c r="J86" i="1"/>
  <c r="K86" i="1"/>
  <c r="L86" i="1"/>
  <c r="M86" i="1"/>
  <c r="H57" i="1" l="1"/>
  <c r="H60" i="1" s="1"/>
  <c r="L57" i="1"/>
  <c r="D60" i="1"/>
  <c r="F56" i="1"/>
  <c r="D86" i="1"/>
  <c r="F57" i="1"/>
  <c r="F61" i="1" s="1"/>
  <c r="L61" i="1"/>
  <c r="J60" i="1"/>
  <c r="C60" i="1"/>
  <c r="P57" i="1"/>
  <c r="B57" i="1"/>
  <c r="B61" i="1" s="1"/>
  <c r="B66" i="1" s="1"/>
  <c r="C64" i="1" s="1"/>
  <c r="P60" i="1"/>
  <c r="O61" i="1"/>
  <c r="K61" i="1"/>
  <c r="N61" i="1"/>
  <c r="B8" i="3"/>
  <c r="B9" i="3"/>
  <c r="B20" i="3"/>
  <c r="B20" i="2"/>
  <c r="B35" i="3"/>
  <c r="D44" i="2"/>
  <c r="B18" i="2"/>
  <c r="B8" i="2"/>
  <c r="B39" i="2"/>
  <c r="D39" i="2" s="1"/>
  <c r="B9" i="2"/>
  <c r="B35" i="2"/>
  <c r="B78" i="1" l="1"/>
  <c r="C66" i="1"/>
  <c r="B44" i="3"/>
  <c r="B37" i="3" s="1"/>
  <c r="B19" i="3" s="1"/>
  <c r="F19" i="3" s="1"/>
  <c r="D44" i="3"/>
  <c r="D37" i="3" s="1"/>
  <c r="D8" i="3" s="1"/>
  <c r="G19" i="3" s="1"/>
  <c r="D37" i="2"/>
  <c r="D8" i="2" s="1"/>
  <c r="G19" i="2" s="1"/>
  <c r="C78" i="1" l="1"/>
  <c r="D64" i="1"/>
  <c r="D66" i="1" s="1"/>
  <c r="B44" i="2"/>
  <c r="B37" i="2" s="1"/>
  <c r="B19" i="2" s="1"/>
  <c r="F19" i="2" s="1"/>
  <c r="E64" i="1" l="1"/>
  <c r="E66" i="1" s="1"/>
  <c r="D78" i="1"/>
  <c r="F64" i="1" l="1"/>
  <c r="F66" i="1" s="1"/>
  <c r="E78" i="1"/>
  <c r="G64" i="1" l="1"/>
  <c r="G66" i="1" s="1"/>
  <c r="F78" i="1"/>
  <c r="H64" i="1" l="1"/>
  <c r="H66" i="1" s="1"/>
  <c r="G78" i="1"/>
  <c r="H78" i="1" l="1"/>
  <c r="I64" i="1"/>
  <c r="I66" i="1" s="1"/>
  <c r="I78" i="1" l="1"/>
  <c r="J64" i="1"/>
  <c r="J66" i="1" s="1"/>
  <c r="K64" i="1" l="1"/>
  <c r="K66" i="1" s="1"/>
  <c r="J78" i="1"/>
  <c r="L64" i="1" l="1"/>
  <c r="L66" i="1" s="1"/>
  <c r="K78" i="1"/>
  <c r="L78" i="1" l="1"/>
  <c r="M64" i="1"/>
  <c r="M66" i="1" s="1"/>
  <c r="N64" i="1" s="1"/>
  <c r="N66" i="1" s="1"/>
  <c r="N78" i="1" l="1"/>
  <c r="M78" i="1"/>
  <c r="O64" i="1"/>
  <c r="O66" i="1" s="1"/>
  <c r="P64" i="1" l="1"/>
  <c r="P66" i="1" s="1"/>
  <c r="O78" i="1"/>
  <c r="Q64" i="1" l="1"/>
  <c r="Q66" i="1" s="1"/>
  <c r="Q78" i="1" s="1"/>
  <c r="P78" i="1"/>
</calcChain>
</file>

<file path=xl/sharedStrings.xml><?xml version="1.0" encoding="utf-8"?>
<sst xmlns="http://schemas.openxmlformats.org/spreadsheetml/2006/main" count="314" uniqueCount="188">
  <si>
    <t>BOISSONS</t>
  </si>
  <si>
    <t>COMPETITIONS</t>
  </si>
  <si>
    <t>ASSURANCES</t>
  </si>
  <si>
    <t>FESTIVITES</t>
  </si>
  <si>
    <t>DIVERS</t>
  </si>
  <si>
    <t>TAXI BILLARD</t>
  </si>
  <si>
    <t>ASSURANCE</t>
  </si>
  <si>
    <t>REPRESENTATION</t>
  </si>
  <si>
    <t>AFFRANCHISSEMENT</t>
  </si>
  <si>
    <t>RESULTAT DE L'EXERCICE</t>
  </si>
  <si>
    <t>GAINS</t>
  </si>
  <si>
    <t>PERTES</t>
  </si>
  <si>
    <t>BANQUE + CAISSE</t>
  </si>
  <si>
    <t>Au début de l'exercice</t>
  </si>
  <si>
    <t>A la fin de l'exercice</t>
  </si>
  <si>
    <t xml:space="preserve">EXERCICE </t>
  </si>
  <si>
    <t>TOTAL RECETTES</t>
  </si>
  <si>
    <t>TOTAL DEPENSES</t>
  </si>
  <si>
    <t>TAXI BILLARD "erreur de facturation"</t>
  </si>
  <si>
    <t>REMBOURSEMENT TAXI BILLARD</t>
  </si>
  <si>
    <t>VENTE de TITRES</t>
  </si>
  <si>
    <t>ACCESSOIRES BILLARD</t>
  </si>
  <si>
    <t>MOBILIER MATERIEL</t>
  </si>
  <si>
    <t>COMPET. DEPLACEMENTS</t>
  </si>
  <si>
    <t>RECETTES</t>
  </si>
  <si>
    <t xml:space="preserve"> DEPENSES</t>
  </si>
  <si>
    <t>PORTEFEUILLE au</t>
  </si>
  <si>
    <t>CAPITOL MONET C (SICAV)</t>
  </si>
  <si>
    <t>EMPRUNT BANQUAIRE</t>
  </si>
  <si>
    <t>REMBOURSEMENT EMPRUNT</t>
  </si>
  <si>
    <t>Parts Soc.</t>
  </si>
  <si>
    <t>BILLARD au FORFAIT</t>
  </si>
  <si>
    <t>BILLARD au COMPTEUR</t>
  </si>
  <si>
    <t>2001 / 02</t>
  </si>
  <si>
    <t>2002 / 03</t>
  </si>
  <si>
    <t>Arrondi</t>
  </si>
  <si>
    <t>2003 / 04</t>
  </si>
  <si>
    <t>Nbre d' Adhérents à la fin de l'exercice</t>
  </si>
  <si>
    <t>au Crédit Agricole</t>
  </si>
  <si>
    <t>RESTE à Rembourser</t>
  </si>
  <si>
    <t>2004 / 05</t>
  </si>
  <si>
    <t>Billard ( Tapis etc..)</t>
  </si>
  <si>
    <t>Location compteurs BILLARD</t>
  </si>
  <si>
    <t>Consommables :Frais de BUREAU</t>
  </si>
  <si>
    <t>LIGUE et DISTRICT (Licences etc..)</t>
  </si>
  <si>
    <t>PREVISION</t>
  </si>
  <si>
    <t>Prévision</t>
  </si>
  <si>
    <t>TOTAL PORTEFEUILLE</t>
  </si>
  <si>
    <t>Arrondis Conversion Frs / €</t>
  </si>
  <si>
    <t>INTERETS sur EMPRUNT</t>
  </si>
  <si>
    <t>TELEPHONE, FAX, Wanadoo</t>
  </si>
  <si>
    <t>Reel</t>
  </si>
  <si>
    <t>SICAV</t>
  </si>
  <si>
    <t>Compte Epargne</t>
  </si>
  <si>
    <t>OBLIGATIONS</t>
  </si>
  <si>
    <t>Achat Obligations + livre épargne</t>
  </si>
  <si>
    <t>2005/06</t>
  </si>
  <si>
    <t>2006/07</t>
  </si>
  <si>
    <t>Dont Contrat photocopieur</t>
  </si>
  <si>
    <t>Disponibilité en fin d'exercice</t>
  </si>
  <si>
    <t>2008/09</t>
  </si>
  <si>
    <t>2007/08</t>
  </si>
  <si>
    <t>2009/10</t>
  </si>
  <si>
    <t>2010/11</t>
  </si>
  <si>
    <t>2011/12</t>
  </si>
  <si>
    <t>effectif fin d'exercice</t>
  </si>
  <si>
    <t>Charges SUPPLETIVES St Gilles</t>
  </si>
  <si>
    <t>Annulation report vers année N+1</t>
  </si>
  <si>
    <t>2012/13</t>
  </si>
  <si>
    <t>2013/14</t>
  </si>
  <si>
    <t>2014/15</t>
  </si>
  <si>
    <t>2015/16</t>
  </si>
  <si>
    <t>TRANSFERT vers livret A</t>
  </si>
  <si>
    <t>1-1+1-2</t>
  </si>
  <si>
    <t>9-2</t>
  </si>
  <si>
    <t>4-1</t>
  </si>
  <si>
    <t>5-1</t>
  </si>
  <si>
    <t>4-2</t>
  </si>
  <si>
    <t>2-2</t>
  </si>
  <si>
    <t>2-1</t>
  </si>
  <si>
    <t>11-2</t>
  </si>
  <si>
    <t>8</t>
  </si>
  <si>
    <t>7-5</t>
  </si>
  <si>
    <t>Codes</t>
  </si>
  <si>
    <t>9-1</t>
  </si>
  <si>
    <t>7.1</t>
  </si>
  <si>
    <t>7-1</t>
  </si>
  <si>
    <t>7-3</t>
  </si>
  <si>
    <t>1-1+1-2+4-3</t>
  </si>
  <si>
    <t>3-2</t>
  </si>
  <si>
    <t xml:space="preserve">ACHAT BILLARD </t>
  </si>
  <si>
    <r>
      <t xml:space="preserve">Budget reel </t>
    </r>
    <r>
      <rPr>
        <b/>
        <u/>
        <sz val="20"/>
        <rFont val="Times New Roman"/>
        <family val="1"/>
      </rPr>
      <t>de l'association</t>
    </r>
  </si>
  <si>
    <t>Si  l'exercice de l'association est différent de l'année civile, préciser les dates de début et de fin d'exercice.</t>
  </si>
  <si>
    <t>Le total des charges doit être égal au total des produits</t>
  </si>
  <si>
    <t>CHARGES</t>
  </si>
  <si>
    <r>
      <t>Montant</t>
    </r>
    <r>
      <rPr>
        <b/>
        <vertAlign val="superscript"/>
        <sz val="7.5"/>
        <color indexed="8"/>
        <rFont val="Times New Roman"/>
        <family val="1"/>
      </rPr>
      <t>s</t>
    </r>
  </si>
  <si>
    <t>PRODUITS</t>
  </si>
  <si>
    <t>Montant</t>
  </si>
  <si>
    <t>CHARGES DIRECTES</t>
  </si>
  <si>
    <t>RESSOURCES DIRECTES</t>
  </si>
  <si>
    <t>60 —Achats</t>
  </si>
  <si>
    <r>
      <t>70</t>
    </r>
    <r>
      <rPr>
        <b/>
        <sz val="7.5"/>
        <color indexed="63"/>
        <rFont val="Times New Roman"/>
        <family val="1"/>
      </rPr>
      <t xml:space="preserve"> —</t>
    </r>
    <r>
      <rPr>
        <b/>
        <sz val="7.5"/>
        <color indexed="8"/>
        <rFont val="Times New Roman"/>
        <family val="1"/>
      </rPr>
      <t xml:space="preserve"> Vente de produits finis, de marchandises, prestations de services</t>
    </r>
  </si>
  <si>
    <t>Prestations de services</t>
  </si>
  <si>
    <t>Achats matières et fournitures</t>
  </si>
  <si>
    <r>
      <t>74- Subventions d'exploitation</t>
    </r>
    <r>
      <rPr>
        <b/>
        <vertAlign val="superscript"/>
        <sz val="7.5"/>
        <color indexed="8"/>
        <rFont val="Times New Roman"/>
        <family val="1"/>
      </rPr>
      <t>°</t>
    </r>
  </si>
  <si>
    <t>Autres fournitures</t>
  </si>
  <si>
    <t>Etat : préciser le(s) ministère(s) sollicité(s)</t>
  </si>
  <si>
    <t>61 - Services extérieurs</t>
  </si>
  <si>
    <t>-</t>
  </si>
  <si>
    <t>Locations</t>
  </si>
  <si>
    <t>Entretien et réparation</t>
  </si>
  <si>
    <t>Région(s) :</t>
  </si>
  <si>
    <t>Assurance</t>
  </si>
  <si>
    <t>Documentation</t>
  </si>
  <si>
    <t>Département(s) :</t>
  </si>
  <si>
    <t>62 - Autres services extérieurs</t>
  </si>
  <si>
    <t>Rémunérations intermédiaires et honoraires</t>
  </si>
  <si>
    <t>Intercommunalité(s) : EPCI'</t>
  </si>
  <si>
    <t>Publicité, publication</t>
  </si>
  <si>
    <t>Déplacements, missions</t>
  </si>
  <si>
    <t>Commune(s) :</t>
  </si>
  <si>
    <t>Services bancaires, autres</t>
  </si>
  <si>
    <r>
      <t xml:space="preserve">63 - Impôts </t>
    </r>
    <r>
      <rPr>
        <b/>
        <i/>
        <sz val="7.5"/>
        <color indexed="8"/>
        <rFont val="Times New Roman"/>
        <family val="1"/>
      </rPr>
      <t xml:space="preserve">et </t>
    </r>
    <r>
      <rPr>
        <b/>
        <sz val="7.5"/>
        <color indexed="8"/>
        <rFont val="Times New Roman"/>
        <family val="1"/>
      </rPr>
      <t>taxes</t>
    </r>
  </si>
  <si>
    <t>Organismes sociaux (détailler) :</t>
  </si>
  <si>
    <t>Impôts et taxes sur rémunération,</t>
  </si>
  <si>
    <t>Autres impôts et taxes</t>
  </si>
  <si>
    <t>Fonds européens</t>
  </si>
  <si>
    <t>64- Charges de personnel</t>
  </si>
  <si>
    <t>Rémunération des personnels</t>
  </si>
  <si>
    <t>L'agence de services et de paiement (ex-CNASEA -emplois aidés)</t>
  </si>
  <si>
    <t>Charges sociales</t>
  </si>
  <si>
    <t>Autres établissements publics</t>
  </si>
  <si>
    <t>Autres charges de personnel</t>
  </si>
  <si>
    <t>Aides privées</t>
  </si>
  <si>
    <t>65- Autres charges de gestion courante</t>
  </si>
  <si>
    <t>75 - Autres produits de gestion courante</t>
  </si>
  <si>
    <t>66- Charges financières</t>
  </si>
  <si>
    <t>Dont cotisations, dons manuels ou legs</t>
  </si>
  <si>
    <t>67- Charges exceptionnelles</t>
  </si>
  <si>
    <t>76 - Produits financiers</t>
  </si>
  <si>
    <t>68- Dotation aux amortissements</t>
  </si>
  <si>
    <r>
      <t>78</t>
    </r>
    <r>
      <rPr>
        <b/>
        <sz val="7.5"/>
        <color indexed="63"/>
        <rFont val="Times New Roman"/>
        <family val="1"/>
      </rPr>
      <t xml:space="preserve"> —</t>
    </r>
    <r>
      <rPr>
        <b/>
        <sz val="7.5"/>
        <color indexed="8"/>
        <rFont val="Times New Roman"/>
        <family val="1"/>
      </rPr>
      <t xml:space="preserve"> Reprises sur</t>
    </r>
  </si>
  <si>
    <t>amortissements et provisions</t>
  </si>
  <si>
    <t>CHARGES INDIRECTES</t>
  </si>
  <si>
    <t>Charges fixes de fonctionnement</t>
  </si>
  <si>
    <t>Frais financiers</t>
  </si>
  <si>
    <t>Autres</t>
  </si>
  <si>
    <t>TOTAL DES CHARGES</t>
  </si>
  <si>
    <t>TOTAL DES PRODUITS</t>
  </si>
  <si>
    <r>
      <t>CONTRIBUTIONS VOLONTAIRES</t>
    </r>
    <r>
      <rPr>
        <b/>
        <vertAlign val="superscript"/>
        <sz val="7.5"/>
        <color indexed="8"/>
        <rFont val="Times New Roman"/>
        <family val="1"/>
      </rPr>
      <t>°</t>
    </r>
  </si>
  <si>
    <t>86- Emplois des contributions volontaires en nature</t>
  </si>
  <si>
    <t>87- Contributions volontaires en nature</t>
  </si>
  <si>
    <t>Secours en nature</t>
  </si>
  <si>
    <t>Bénévolat</t>
  </si>
  <si>
    <t>Mise à disposition gratuite de biens et prestations</t>
  </si>
  <si>
    <t>Prestations en nature</t>
  </si>
  <si>
    <t>Personnel bénévole</t>
  </si>
  <si>
    <t>Dons en nature</t>
  </si>
  <si>
    <t>TOTAL</t>
  </si>
  <si>
    <r>
      <t>5</t>
    </r>
    <r>
      <rPr>
        <sz val="7.5"/>
        <color indexed="8"/>
        <rFont val="Times New Roman"/>
        <family val="1"/>
      </rPr>
      <t xml:space="preserve"> Ne pas indiquer les centimes d'euros.</t>
    </r>
  </si>
  <si>
    <r>
      <t>6</t>
    </r>
    <r>
      <rPr>
        <sz val="7.5"/>
        <color indexed="8"/>
        <rFont val="Times New Roman"/>
        <family val="1"/>
      </rPr>
      <t xml:space="preserve"> L'attention du demandeur est appelée sur le fait que les indications sur les financements demandés auprès d'autres financeurs publics valent déclaration sur l'honneur et tiennent lieu de justificatifs. Aucun document complémentaire ne sera demandé si cette partie est complétée en indiquant les autres services et collectivités sollicitées.</t>
    </r>
  </si>
  <si>
    <r>
      <t>'Catégories d'établissements publics de coopération intercommunale (EPCI) à fiscalité propre : communauté de communes</t>
    </r>
    <r>
      <rPr>
        <sz val="7.5"/>
        <color indexed="63"/>
        <rFont val="Times New Roman"/>
        <family val="1"/>
      </rPr>
      <t xml:space="preserve"> ; </t>
    </r>
    <r>
      <rPr>
        <sz val="7.5"/>
        <color indexed="8"/>
        <rFont val="Times New Roman"/>
        <family val="1"/>
      </rPr>
      <t>communauté d'agglomération ; communauté urbaine.</t>
    </r>
  </si>
  <si>
    <r>
      <t>8</t>
    </r>
    <r>
      <rPr>
        <sz val="7.5"/>
        <color indexed="8"/>
        <rFont val="Times New Roman"/>
        <family val="1"/>
      </rPr>
      <t xml:space="preserve"> Le plan comptable des associations, issu du règlement CRC ri° 99-01, prévoit </t>
    </r>
    <r>
      <rPr>
        <i/>
        <sz val="7.5"/>
        <color indexed="8"/>
        <rFont val="Times New Roman"/>
        <family val="1"/>
      </rPr>
      <t xml:space="preserve">a minima </t>
    </r>
    <r>
      <rPr>
        <sz val="7.5"/>
        <color indexed="8"/>
        <rFont val="Times New Roman"/>
        <family val="1"/>
      </rPr>
      <t>une information (quantitative ou, à défaut, qualitative) dans l'annexe et une possibilité d'inscription en comptabilité mais en engagements « hors bilan » et « au pied » du compte de résultat.</t>
    </r>
  </si>
  <si>
    <t>4-3</t>
  </si>
  <si>
    <t>Dont Assemblées et divers</t>
  </si>
  <si>
    <t>11-3</t>
  </si>
  <si>
    <r>
      <t xml:space="preserve">Budget prévisionnel </t>
    </r>
    <r>
      <rPr>
        <b/>
        <u/>
        <sz val="20"/>
        <rFont val="Times New Roman"/>
        <family val="1"/>
      </rPr>
      <t>de l'association</t>
    </r>
  </si>
  <si>
    <t>CA</t>
  </si>
  <si>
    <t>CM</t>
  </si>
  <si>
    <t>Banques  C.A.+CM hors transfert livret A</t>
  </si>
  <si>
    <t>Mouv,Inter CA et du livret A</t>
  </si>
  <si>
    <t>REEL</t>
  </si>
  <si>
    <t>ANNEXE N° 2</t>
  </si>
  <si>
    <t>2019/20</t>
  </si>
  <si>
    <t>REEL à FIN Juin</t>
  </si>
  <si>
    <t>FRAIS GARDE C.A. &amp; CM</t>
  </si>
  <si>
    <t>Budget</t>
  </si>
  <si>
    <t>Dont Aides privées</t>
  </si>
  <si>
    <t>Dont creation site internet</t>
  </si>
  <si>
    <t>SUBVENTIONS OMS+Aides privées</t>
  </si>
  <si>
    <t>ADHESIONS &amp; Licences</t>
  </si>
  <si>
    <t>2021-22</t>
  </si>
  <si>
    <t>2022-23</t>
  </si>
  <si>
    <t>2020/21</t>
  </si>
  <si>
    <t>b</t>
  </si>
  <si>
    <t>2023-2024</t>
  </si>
  <si>
    <t>Report CA</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</si>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</sst>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F&quot;"/>
    <numFmt numFmtId="165" formatCode="#,##0&quot; €&quot;"/>
    <numFmt numFmtId="166" formatCode="#,##0\ [$€-1]"/>
    <numFmt numFmtId="167" formatCode="#,##0\ [$€-1];[Red]\-#,##0\ [$€-1]"/>
    <numFmt numFmtId="168" formatCode="#,##0.00&quot; €&quot;"/>
    <numFmt numFmtId="169" formatCode="#,##0\ &quot;€&quot;"/>
  </numFmts>
  <fonts count="33" x14ac:knownFonts="1">
    <font>
      <sz val="10"/>
      <name val="Arial"/>
    </font>
    <font>
      <sz val="10"/>
      <name val="Arial"/>
      <family val="2"/>
    </font>
    <font>
      <b/>
      <sz val="10"/>
      <name val="Arial"/>
      <family val="2"/>
    </font>
    <font>
      <b/>
      <sz val="12"/>
      <name val="Arial"/>
      <family val="2"/>
    </font>
    <font>
      <sz val="12"/>
      <name val="Arial"/>
      <family val="2"/>
    </font>
    <font>
      <b/>
      <sz val="12"/>
      <color indexed="10"/>
      <name val="Arial"/>
      <family val="2"/>
    </font>
    <font>
      <b/>
      <u/>
      <sz val="12"/>
      <name val="Arial"/>
      <family val="2"/>
    </font>
    <font>
      <b/>
      <sz val="10"/>
      <name val="Arial"/>
      <family val="2"/>
    </font>
    <font>
      <sz val="10"/>
      <name val="Arial"/>
      <family val="2"/>
    </font>
    <font>
      <sz val="10"/>
      <color indexed="12"/>
      <name val="Arial"/>
      <family val="2"/>
    </font>
    <font>
      <sz val="10"/>
      <name val="Arial"/>
      <family val="2"/>
    </font>
    <font>
      <b/>
      <sz val="10"/>
      <color indexed="10"/>
      <name val="Arial"/>
      <family val="2"/>
    </font>
    <font>
      <b/>
      <sz val="14"/>
      <color indexed="10"/>
      <name val="Arial"/>
      <family val="2"/>
    </font>
    <font>
      <b/>
      <sz val="20"/>
      <name val="Times New Roman"/>
      <family val="1"/>
    </font>
    <font>
      <b/>
      <u/>
      <sz val="20"/>
      <name val="Times New Roman"/>
      <family val="1"/>
    </font>
    <font>
      <sz val="10"/>
      <name val="Times New Roman"/>
      <family val="1"/>
    </font>
    <font>
      <b/>
      <i/>
      <sz val="10"/>
      <name val="Times New Roman"/>
      <family val="1"/>
    </font>
    <font>
      <b/>
      <sz val="11"/>
      <color indexed="8"/>
      <name val="Times New Roman"/>
      <family val="1"/>
    </font>
    <font>
      <b/>
      <sz val="7.5"/>
      <color indexed="8"/>
      <name val="Times New Roman"/>
      <family val="1"/>
    </font>
    <font>
      <b/>
      <vertAlign val="superscript"/>
      <sz val="7.5"/>
      <color indexed="8"/>
      <name val="Times New Roman"/>
      <family val="1"/>
    </font>
    <font>
      <sz val="7.5"/>
      <color indexed="8"/>
      <name val="Times New Roman"/>
      <family val="1"/>
    </font>
    <font>
      <b/>
      <sz val="7.5"/>
      <color indexed="63"/>
      <name val="Times New Roman"/>
      <family val="1"/>
    </font>
    <font>
      <sz val="12"/>
      <color indexed="8"/>
      <name val="Times New Roman"/>
      <family val="1"/>
    </font>
    <font>
      <sz val="7.5"/>
      <color indexed="63"/>
      <name val="Times New Roman"/>
      <family val="1"/>
    </font>
    <font>
      <b/>
      <i/>
      <sz val="7.5"/>
      <color indexed="8"/>
      <name val="Times New Roman"/>
      <family val="1"/>
    </font>
    <font>
      <b/>
      <sz val="10"/>
      <color indexed="8"/>
      <name val="Times New Roman"/>
      <family val="1"/>
    </font>
    <font>
      <b/>
      <sz val="12"/>
      <color indexed="8"/>
      <name val="Times New Roman"/>
      <family val="1"/>
    </font>
    <font>
      <vertAlign val="superscript"/>
      <sz val="4.5"/>
      <color indexed="63"/>
      <name val="Times New Roman"/>
      <family val="1"/>
    </font>
    <font>
      <i/>
      <sz val="7.5"/>
      <color indexed="8"/>
      <name val="Times New Roman"/>
      <family val="1"/>
    </font>
    <font>
      <sz val="10"/>
      <color rgb="FFFF0000"/>
      <name val="Arial"/>
      <family val="2"/>
    </font>
    <font>
      <sz val="8"/>
      <name val="Times New Roman"/>
      <family val="1"/>
    </font>
    <font>
      <b/>
      <sz val="12"/>
      <name val="Times New Roman"/>
      <family val="1"/>
    </font>
    <font>
      <b/>
      <sz val="12"/>
      <color rgb="FFFF0000"/>
      <name val="Arial"/>
      <family val="2"/>
    </font>
  </fonts>
  <fills count="4">
    <fill>
      <patternFill patternType="none"/>
    </fill>
    <fill>
      <patternFill patternType="gray125"/>
    </fill>
    <fill>
      <patternFill patternType="solid">
        <fgColor indexed="49"/>
        <bgColor indexed="64"/>
      </patternFill>
    </fill>
    <fill>
      <patternFill patternType="solid">
        <fgColor indexed="52"/>
        <bgColor indexed="64"/>
      </patternFill>
    </fill>
  </fills>
  <borders count="47">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dashed">
        <color indexed="64"/>
      </left>
      <right style="dashed">
        <color indexed="64"/>
      </right>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dashed">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dotted">
        <color indexed="64"/>
      </left>
      <right style="dotted">
        <color indexed="64"/>
      </right>
      <top style="hair">
        <color indexed="64"/>
      </top>
      <bottom style="hair">
        <color indexed="64"/>
      </bottom>
      <diagonal/>
    </border>
    <border>
      <left style="medium">
        <color indexed="8"/>
      </left>
      <right style="medium">
        <color indexed="8"/>
      </right>
      <top style="medium">
        <color indexed="8"/>
      </top>
      <bottom/>
      <diagonal/>
    </border>
    <border>
      <left/>
      <right/>
      <top style="medium">
        <color indexed="8"/>
      </top>
      <bottom/>
      <diagonal/>
    </border>
    <border>
      <left style="thin">
        <color indexed="64"/>
      </left>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top style="hair">
        <color indexed="64"/>
      </top>
      <bottom/>
      <diagonal/>
    </border>
    <border>
      <left style="medium">
        <color indexed="64"/>
      </left>
      <right/>
      <top/>
      <bottom style="hair">
        <color indexed="64"/>
      </bottom>
      <diagonal/>
    </border>
    <border>
      <left style="thick">
        <color indexed="64"/>
      </left>
      <right/>
      <top style="thick">
        <color indexed="64"/>
      </top>
      <bottom style="thick">
        <color indexed="64"/>
      </bottom>
      <diagonal/>
    </border>
    <border>
      <left style="thin">
        <color indexed="64"/>
      </left>
      <right/>
      <top style="thick">
        <color indexed="64"/>
      </top>
      <bottom/>
      <diagonal/>
    </border>
    <border>
      <left style="dashed">
        <color indexed="64"/>
      </left>
      <right/>
      <top/>
      <bottom style="medium">
        <color indexed="64"/>
      </bottom>
      <diagonal/>
    </border>
    <border>
      <left style="thin">
        <color indexed="64"/>
      </left>
      <right/>
      <top/>
      <bottom style="medium">
        <color indexed="64"/>
      </bottom>
      <diagonal/>
    </border>
  </borders>
  <cellStyleXfs count="1">
    <xf numFmtId="0" fontId="0" fillId="0" borderId="0"/>
  </cellStyleXfs>
  <cellXfs count="192">
    <xf numFmtId="0" fontId="0" fillId="0" borderId="0" xfId="0"/>
    <xf numFmtId="0" fontId="0" fillId="0" borderId="1" xfId="0" applyBorder="1"/>
    <xf numFmtId="0" fontId="2" fillId="0" borderId="1" xfId="0" applyFont="1" applyBorder="1"/>
    <xf numFmtId="0" fontId="0" fillId="0" borderId="2" xfId="0" applyBorder="1"/>
    <xf numFmtId="3" fontId="0" fillId="0" borderId="2" xfId="0" applyNumberFormat="1" applyBorder="1"/>
    <xf numFmtId="164" fontId="0" fillId="0" borderId="1" xfId="0" applyNumberFormat="1" applyBorder="1"/>
    <xf numFmtId="0" fontId="3" fillId="0" borderId="3" xfId="0" applyFont="1" applyBorder="1" applyAlignment="1">
      <alignment horizontal="center"/>
    </xf>
    <xf numFmtId="0" fontId="4" fillId="0" borderId="0" xfId="0" applyFont="1"/>
    <xf numFmtId="0" fontId="3" fillId="0" borderId="4" xfId="0" applyFont="1" applyBorder="1"/>
    <xf numFmtId="0" fontId="3" fillId="0" borderId="5" xfId="0" applyFont="1" applyBorder="1" applyAlignment="1">
      <alignment horizontal="center"/>
    </xf>
    <xf numFmtId="0" fontId="2" fillId="0" borderId="2" xfId="0" applyFont="1" applyBorder="1"/>
    <xf numFmtId="0" fontId="3" fillId="0" borderId="1" xfId="0" applyFont="1" applyBorder="1"/>
    <xf numFmtId="0" fontId="3" fillId="0" borderId="6" xfId="0" applyFont="1" applyBorder="1" applyAlignment="1">
      <alignment horizontal="center"/>
    </xf>
    <xf numFmtId="0" fontId="3" fillId="0" borderId="1" xfId="0" applyFont="1" applyBorder="1" applyAlignment="1">
      <alignment horizontal="center"/>
    </xf>
    <xf numFmtId="14" fontId="2" fillId="0" borderId="1" xfId="0" applyNumberFormat="1" applyFont="1" applyBorder="1" applyAlignment="1">
      <alignment horizontal="center"/>
    </xf>
    <xf numFmtId="0" fontId="3" fillId="0" borderId="7" xfId="0" applyFont="1" applyBorder="1"/>
    <xf numFmtId="3" fontId="0" fillId="0" borderId="8" xfId="0" applyNumberFormat="1" applyBorder="1"/>
    <xf numFmtId="3" fontId="0" fillId="0" borderId="9" xfId="0" applyNumberFormat="1" applyBorder="1"/>
    <xf numFmtId="3" fontId="2" fillId="0" borderId="3" xfId="0" applyNumberFormat="1" applyFont="1" applyBorder="1"/>
    <xf numFmtId="165" fontId="3" fillId="0" borderId="3" xfId="0" applyNumberFormat="1" applyFont="1" applyBorder="1"/>
    <xf numFmtId="165" fontId="0" fillId="0" borderId="1" xfId="0" applyNumberFormat="1" applyBorder="1"/>
    <xf numFmtId="166" fontId="3" fillId="0" borderId="5" xfId="0" applyNumberFormat="1" applyFont="1" applyBorder="1"/>
    <xf numFmtId="167" fontId="3" fillId="0" borderId="5" xfId="0" applyNumberFormat="1" applyFont="1" applyBorder="1"/>
    <xf numFmtId="0" fontId="0" fillId="0" borderId="6" xfId="0" applyBorder="1"/>
    <xf numFmtId="165" fontId="0" fillId="0" borderId="10" xfId="0" applyNumberFormat="1" applyBorder="1"/>
    <xf numFmtId="0" fontId="3" fillId="0" borderId="0" xfId="0" applyFont="1" applyAlignment="1">
      <alignment horizontal="center"/>
    </xf>
    <xf numFmtId="0" fontId="3" fillId="0" borderId="6" xfId="0" applyFont="1" applyBorder="1"/>
    <xf numFmtId="165" fontId="0" fillId="0" borderId="11" xfId="0" applyNumberFormat="1" applyBorder="1"/>
    <xf numFmtId="0" fontId="3" fillId="0" borderId="12" xfId="0" applyFont="1" applyBorder="1" applyAlignment="1">
      <alignment horizontal="left" vertical="center"/>
    </xf>
    <xf numFmtId="0" fontId="2" fillId="0" borderId="0" xfId="0" applyFont="1" applyAlignment="1">
      <alignment horizontal="center"/>
    </xf>
    <xf numFmtId="3" fontId="0" fillId="0" borderId="13" xfId="0" applyNumberFormat="1" applyBorder="1"/>
    <xf numFmtId="0" fontId="3" fillId="0" borderId="9" xfId="0" applyFont="1" applyBorder="1" applyAlignment="1">
      <alignment horizontal="center"/>
    </xf>
    <xf numFmtId="3" fontId="0" fillId="0" borderId="1" xfId="0" applyNumberFormat="1" applyBorder="1"/>
    <xf numFmtId="0" fontId="0" fillId="0" borderId="9" xfId="0" applyBorder="1"/>
    <xf numFmtId="168" fontId="5" fillId="0" borderId="3" xfId="0" applyNumberFormat="1" applyFont="1" applyBorder="1"/>
    <xf numFmtId="0" fontId="0" fillId="0" borderId="14" xfId="0" applyBorder="1"/>
    <xf numFmtId="14" fontId="2" fillId="0" borderId="6" xfId="0" applyNumberFormat="1" applyFont="1" applyBorder="1" applyAlignment="1">
      <alignment horizontal="center"/>
    </xf>
    <xf numFmtId="3" fontId="2" fillId="0" borderId="2" xfId="0" applyNumberFormat="1" applyFont="1" applyBorder="1"/>
    <xf numFmtId="3" fontId="2" fillId="0" borderId="9" xfId="0" applyNumberFormat="1" applyFont="1" applyBorder="1"/>
    <xf numFmtId="165" fontId="5" fillId="0" borderId="3" xfId="0" applyNumberFormat="1" applyFont="1" applyBorder="1"/>
    <xf numFmtId="0" fontId="0" fillId="0" borderId="15" xfId="0" applyBorder="1"/>
    <xf numFmtId="0" fontId="0" fillId="0" borderId="10" xfId="0" applyBorder="1"/>
    <xf numFmtId="165" fontId="4" fillId="0" borderId="0" xfId="0" applyNumberFormat="1" applyFont="1"/>
    <xf numFmtId="165" fontId="0" fillId="0" borderId="0" xfId="0" applyNumberFormat="1"/>
    <xf numFmtId="0" fontId="2" fillId="0" borderId="6" xfId="0" applyFont="1" applyBorder="1"/>
    <xf numFmtId="165" fontId="0" fillId="0" borderId="16" xfId="0" applyNumberFormat="1" applyBorder="1"/>
    <xf numFmtId="0" fontId="3" fillId="0" borderId="0" xfId="0" applyFont="1"/>
    <xf numFmtId="165" fontId="3" fillId="0" borderId="0" xfId="0" applyNumberFormat="1" applyFont="1"/>
    <xf numFmtId="0" fontId="6" fillId="0" borderId="0" xfId="0" applyFont="1"/>
    <xf numFmtId="0" fontId="3" fillId="0" borderId="17" xfId="0" applyFont="1" applyBorder="1" applyAlignment="1">
      <alignment horizontal="center"/>
    </xf>
    <xf numFmtId="0" fontId="0" fillId="0" borderId="0" xfId="0" applyAlignment="1">
      <alignment horizontal="center"/>
    </xf>
    <xf numFmtId="0" fontId="3" fillId="0" borderId="18" xfId="0" applyFont="1" applyBorder="1"/>
    <xf numFmtId="168" fontId="0" fillId="0" borderId="16" xfId="0" applyNumberFormat="1" applyBorder="1"/>
    <xf numFmtId="3" fontId="1" fillId="0" borderId="8" xfId="0" applyNumberFormat="1" applyFont="1" applyBorder="1"/>
    <xf numFmtId="3" fontId="1" fillId="0" borderId="2" xfId="0" applyNumberFormat="1" applyFont="1" applyBorder="1"/>
    <xf numFmtId="3" fontId="7" fillId="0" borderId="3" xfId="0" applyNumberFormat="1" applyFont="1" applyBorder="1"/>
    <xf numFmtId="3" fontId="8" fillId="0" borderId="1" xfId="0" applyNumberFormat="1" applyFont="1" applyBorder="1"/>
    <xf numFmtId="3" fontId="8" fillId="0" borderId="9" xfId="0" applyNumberFormat="1" applyFont="1" applyBorder="1"/>
    <xf numFmtId="3" fontId="8" fillId="0" borderId="2" xfId="0" applyNumberFormat="1" applyFont="1" applyBorder="1"/>
    <xf numFmtId="165" fontId="3" fillId="0" borderId="3" xfId="0" applyNumberFormat="1" applyFont="1" applyBorder="1" applyAlignment="1">
      <alignment horizontal="center"/>
    </xf>
    <xf numFmtId="165" fontId="0" fillId="0" borderId="1" xfId="0" applyNumberFormat="1" applyBorder="1" applyAlignment="1">
      <alignment horizontal="center"/>
    </xf>
    <xf numFmtId="165" fontId="0" fillId="0" borderId="0" xfId="0" applyNumberFormat="1" applyAlignment="1">
      <alignment horizontal="center"/>
    </xf>
    <xf numFmtId="165" fontId="5" fillId="0" borderId="3" xfId="0" applyNumberFormat="1" applyFont="1" applyBorder="1" applyAlignment="1">
      <alignment horizontal="center"/>
    </xf>
    <xf numFmtId="0" fontId="0" fillId="0" borderId="19" xfId="0" applyBorder="1"/>
    <xf numFmtId="165" fontId="5" fillId="0" borderId="0" xfId="0" applyNumberFormat="1" applyFont="1" applyAlignment="1">
      <alignment horizontal="center"/>
    </xf>
    <xf numFmtId="0" fontId="9" fillId="0" borderId="0" xfId="0" applyFont="1"/>
    <xf numFmtId="165" fontId="0" fillId="0" borderId="20" xfId="0" applyNumberFormat="1" applyBorder="1"/>
    <xf numFmtId="165" fontId="3" fillId="0" borderId="21" xfId="0" applyNumberFormat="1" applyFont="1" applyBorder="1"/>
    <xf numFmtId="0" fontId="4" fillId="0" borderId="22" xfId="0" applyFont="1" applyBorder="1"/>
    <xf numFmtId="0" fontId="0" fillId="0" borderId="22" xfId="0" applyBorder="1"/>
    <xf numFmtId="165" fontId="3" fillId="0" borderId="22" xfId="0" applyNumberFormat="1" applyFont="1" applyBorder="1"/>
    <xf numFmtId="0" fontId="2" fillId="0" borderId="22" xfId="0" applyFont="1" applyBorder="1" applyAlignment="1">
      <alignment horizontal="center"/>
    </xf>
    <xf numFmtId="0" fontId="3" fillId="0" borderId="21" xfId="0" applyFont="1" applyBorder="1" applyAlignment="1">
      <alignment horizontal="center"/>
    </xf>
    <xf numFmtId="4" fontId="0" fillId="0" borderId="9" xfId="0" applyNumberFormat="1" applyBorder="1"/>
    <xf numFmtId="4" fontId="0" fillId="0" borderId="1" xfId="0" applyNumberFormat="1" applyBorder="1"/>
    <xf numFmtId="4" fontId="0" fillId="0" borderId="0" xfId="0" applyNumberFormat="1"/>
    <xf numFmtId="4" fontId="0" fillId="0" borderId="2" xfId="0" applyNumberFormat="1" applyBorder="1"/>
    <xf numFmtId="4" fontId="9" fillId="0" borderId="2" xfId="0" applyNumberFormat="1" applyFont="1" applyBorder="1"/>
    <xf numFmtId="4" fontId="9" fillId="0" borderId="0" xfId="0" applyNumberFormat="1" applyFont="1"/>
    <xf numFmtId="4" fontId="0" fillId="0" borderId="8" xfId="0" applyNumberFormat="1" applyBorder="1"/>
    <xf numFmtId="4" fontId="2" fillId="0" borderId="3" xfId="0" applyNumberFormat="1" applyFont="1" applyBorder="1"/>
    <xf numFmtId="4" fontId="1" fillId="0" borderId="8" xfId="0" applyNumberFormat="1" applyFont="1" applyBorder="1"/>
    <xf numFmtId="4" fontId="1" fillId="0" borderId="2" xfId="0" applyNumberFormat="1" applyFont="1" applyBorder="1"/>
    <xf numFmtId="4" fontId="8" fillId="0" borderId="2" xfId="0" applyNumberFormat="1" applyFont="1" applyBorder="1"/>
    <xf numFmtId="4" fontId="10" fillId="0" borderId="2" xfId="0" applyNumberFormat="1" applyFont="1" applyBorder="1"/>
    <xf numFmtId="0" fontId="10" fillId="0" borderId="0" xfId="0" applyFont="1"/>
    <xf numFmtId="4" fontId="10" fillId="0" borderId="0" xfId="0" applyNumberFormat="1" applyFont="1"/>
    <xf numFmtId="3" fontId="0" fillId="0" borderId="0" xfId="0" applyNumberFormat="1"/>
    <xf numFmtId="3" fontId="1" fillId="0" borderId="0" xfId="0" applyNumberFormat="1" applyFont="1"/>
    <xf numFmtId="4" fontId="1" fillId="0" borderId="23" xfId="0" applyNumberFormat="1" applyFont="1" applyBorder="1"/>
    <xf numFmtId="4" fontId="1" fillId="0" borderId="24" xfId="0" applyNumberFormat="1" applyFont="1" applyBorder="1"/>
    <xf numFmtId="4" fontId="7" fillId="0" borderId="25" xfId="0" applyNumberFormat="1" applyFont="1" applyBorder="1"/>
    <xf numFmtId="4" fontId="8" fillId="0" borderId="24" xfId="0" applyNumberFormat="1" applyFont="1" applyBorder="1"/>
    <xf numFmtId="4" fontId="7" fillId="0" borderId="2" xfId="0" applyNumberFormat="1" applyFont="1" applyBorder="1"/>
    <xf numFmtId="4" fontId="2" fillId="0" borderId="26" xfId="0" applyNumberFormat="1" applyFont="1" applyBorder="1"/>
    <xf numFmtId="4" fontId="2" fillId="0" borderId="27" xfId="0" applyNumberFormat="1" applyFont="1" applyBorder="1"/>
    <xf numFmtId="0" fontId="3" fillId="0" borderId="1" xfId="0" applyFont="1" applyBorder="1" applyAlignment="1">
      <alignment horizontal="center" vertical="center"/>
    </xf>
    <xf numFmtId="0" fontId="11" fillId="0" borderId="2" xfId="0" applyFont="1" applyBorder="1"/>
    <xf numFmtId="3" fontId="11" fillId="0" borderId="2" xfId="0" applyNumberFormat="1" applyFont="1" applyBorder="1"/>
    <xf numFmtId="3" fontId="11" fillId="0" borderId="8" xfId="0" applyNumberFormat="1" applyFont="1" applyBorder="1"/>
    <xf numFmtId="4" fontId="11" fillId="0" borderId="8" xfId="0" applyNumberFormat="1" applyFont="1" applyBorder="1"/>
    <xf numFmtId="4" fontId="11" fillId="0" borderId="5" xfId="0" applyNumberFormat="1" applyFont="1" applyBorder="1"/>
    <xf numFmtId="4" fontId="11" fillId="0" borderId="2" xfId="0" applyNumberFormat="1" applyFont="1" applyBorder="1"/>
    <xf numFmtId="0" fontId="11" fillId="0" borderId="0" xfId="0" applyFont="1"/>
    <xf numFmtId="165" fontId="5" fillId="0" borderId="0" xfId="0" applyNumberFormat="1" applyFont="1" applyAlignment="1">
      <alignment horizontal="center" wrapText="1"/>
    </xf>
    <xf numFmtId="165" fontId="12" fillId="0" borderId="3" xfId="0" applyNumberFormat="1" applyFont="1" applyBorder="1" applyAlignment="1">
      <alignment horizontal="center" vertical="center"/>
    </xf>
    <xf numFmtId="4" fontId="2" fillId="0" borderId="10" xfId="0" applyNumberFormat="1" applyFont="1" applyBorder="1"/>
    <xf numFmtId="165" fontId="12" fillId="0" borderId="28" xfId="0" applyNumberFormat="1" applyFont="1" applyBorder="1" applyAlignment="1">
      <alignment horizontal="center" vertical="center"/>
    </xf>
    <xf numFmtId="0" fontId="15" fillId="0" borderId="0" xfId="0" applyFont="1"/>
    <xf numFmtId="0" fontId="18" fillId="0" borderId="29" xfId="0" applyFont="1" applyBorder="1" applyAlignment="1">
      <alignment horizontal="center" wrapText="1"/>
    </xf>
    <xf numFmtId="0" fontId="18" fillId="0" borderId="30" xfId="0" applyFont="1" applyBorder="1" applyAlignment="1">
      <alignment horizontal="center" wrapText="1"/>
    </xf>
    <xf numFmtId="0" fontId="18" fillId="0" borderId="31" xfId="0" applyFont="1" applyBorder="1" applyAlignment="1">
      <alignment vertical="center" wrapText="1"/>
    </xf>
    <xf numFmtId="0" fontId="20" fillId="0" borderId="32" xfId="0" applyFont="1" applyBorder="1" applyAlignment="1">
      <alignment vertical="center" wrapText="1"/>
    </xf>
    <xf numFmtId="0" fontId="18" fillId="0" borderId="32" xfId="0" applyFont="1" applyBorder="1" applyAlignment="1">
      <alignment vertical="center" wrapText="1"/>
    </xf>
    <xf numFmtId="0" fontId="22" fillId="0" borderId="32" xfId="0" applyFont="1" applyBorder="1" applyAlignment="1">
      <alignment vertical="center" wrapText="1"/>
    </xf>
    <xf numFmtId="0" fontId="15" fillId="0" borderId="0" xfId="0" applyFont="1" applyAlignment="1">
      <alignment vertical="center"/>
    </xf>
    <xf numFmtId="0" fontId="20" fillId="0" borderId="31" xfId="0" applyFont="1" applyBorder="1" applyAlignment="1">
      <alignment vertical="center" wrapText="1"/>
    </xf>
    <xf numFmtId="169" fontId="22" fillId="0" borderId="32" xfId="0" applyNumberFormat="1" applyFont="1" applyBorder="1" applyAlignment="1">
      <alignment vertical="center" wrapText="1"/>
    </xf>
    <xf numFmtId="169" fontId="20" fillId="0" borderId="32" xfId="0" applyNumberFormat="1" applyFont="1" applyBorder="1" applyAlignment="1">
      <alignment vertical="center" wrapText="1"/>
    </xf>
    <xf numFmtId="0" fontId="23" fillId="0" borderId="32" xfId="0" applyFont="1" applyBorder="1" applyAlignment="1">
      <alignment vertical="center" wrapText="1"/>
    </xf>
    <xf numFmtId="0" fontId="18" fillId="0" borderId="33" xfId="0" applyFont="1" applyBorder="1" applyAlignment="1">
      <alignment vertical="center" wrapText="1"/>
    </xf>
    <xf numFmtId="0" fontId="18" fillId="2" borderId="34" xfId="0" applyFont="1" applyFill="1" applyBorder="1" applyAlignment="1">
      <alignment horizontal="center" vertical="center" wrapText="1"/>
    </xf>
    <xf numFmtId="169" fontId="20" fillId="2" borderId="30" xfId="0" applyNumberFormat="1" applyFont="1" applyFill="1" applyBorder="1" applyAlignment="1">
      <alignment vertical="center" wrapText="1"/>
    </xf>
    <xf numFmtId="0" fontId="22" fillId="2" borderId="32" xfId="0" applyFont="1" applyFill="1" applyBorder="1" applyAlignment="1">
      <alignment vertical="center" wrapText="1"/>
    </xf>
    <xf numFmtId="169" fontId="22" fillId="2" borderId="32" xfId="0" applyNumberFormat="1" applyFont="1" applyFill="1" applyBorder="1" applyAlignment="1">
      <alignment vertical="center" wrapText="1"/>
    </xf>
    <xf numFmtId="0" fontId="25" fillId="0" borderId="31" xfId="0" applyFont="1" applyBorder="1" applyAlignment="1">
      <alignment vertical="center" wrapText="1"/>
    </xf>
    <xf numFmtId="169" fontId="26" fillId="0" borderId="32" xfId="0" applyNumberFormat="1" applyFont="1" applyBorder="1" applyAlignment="1">
      <alignment vertical="center" wrapText="1"/>
    </xf>
    <xf numFmtId="0" fontId="25" fillId="0" borderId="32" xfId="0" applyFont="1" applyBorder="1" applyAlignment="1">
      <alignment vertical="center" wrapText="1"/>
    </xf>
    <xf numFmtId="0" fontId="18" fillId="0" borderId="34" xfId="0" applyFont="1" applyBorder="1" applyAlignment="1">
      <alignment vertical="center" wrapText="1"/>
    </xf>
    <xf numFmtId="169" fontId="18" fillId="0" borderId="35" xfId="0" applyNumberFormat="1" applyFont="1" applyBorder="1" applyAlignment="1">
      <alignment vertical="center" wrapText="1"/>
    </xf>
    <xf numFmtId="0" fontId="18" fillId="0" borderId="35" xfId="0" applyFont="1" applyBorder="1" applyAlignment="1">
      <alignment vertical="center" wrapText="1"/>
    </xf>
    <xf numFmtId="169" fontId="18" fillId="0" borderId="30" xfId="0" applyNumberFormat="1" applyFont="1" applyBorder="1" applyAlignment="1">
      <alignment vertical="center" wrapText="1"/>
    </xf>
    <xf numFmtId="169" fontId="15" fillId="0" borderId="0" xfId="0" applyNumberFormat="1" applyFont="1" applyAlignment="1">
      <alignment vertical="center"/>
    </xf>
    <xf numFmtId="0" fontId="17" fillId="0" borderId="0" xfId="0" applyFont="1" applyAlignment="1" applyProtection="1">
      <alignment horizontal="left" indent="1"/>
      <protection locked="0"/>
    </xf>
    <xf numFmtId="165" fontId="8" fillId="0" borderId="0" xfId="0" applyNumberFormat="1" applyFont="1"/>
    <xf numFmtId="0" fontId="0" fillId="0" borderId="36" xfId="0" applyBorder="1"/>
    <xf numFmtId="2" fontId="0" fillId="0" borderId="36" xfId="0" applyNumberFormat="1" applyBorder="1"/>
    <xf numFmtId="0" fontId="4" fillId="0" borderId="0" xfId="0" applyFont="1" applyAlignment="1">
      <alignment horizontal="center"/>
    </xf>
    <xf numFmtId="166" fontId="0" fillId="0" borderId="0" xfId="0" applyNumberFormat="1"/>
    <xf numFmtId="2" fontId="29" fillId="0" borderId="36" xfId="0" applyNumberFormat="1" applyFont="1" applyBorder="1"/>
    <xf numFmtId="2" fontId="9" fillId="0" borderId="36" xfId="0" applyNumberFormat="1" applyFont="1" applyBorder="1"/>
    <xf numFmtId="0" fontId="30" fillId="0" borderId="32" xfId="0" applyFont="1" applyBorder="1" applyAlignment="1">
      <alignment vertical="center" wrapText="1"/>
    </xf>
    <xf numFmtId="0" fontId="8" fillId="0" borderId="6" xfId="0" applyFont="1" applyBorder="1" applyAlignment="1">
      <alignment horizontal="center"/>
    </xf>
    <xf numFmtId="49" fontId="0" fillId="0" borderId="40" xfId="0" applyNumberFormat="1" applyBorder="1" applyAlignment="1">
      <alignment horizontal="center"/>
    </xf>
    <xf numFmtId="49" fontId="8" fillId="0" borderId="40" xfId="0" applyNumberFormat="1" applyFont="1" applyBorder="1" applyAlignment="1">
      <alignment horizontal="center"/>
    </xf>
    <xf numFmtId="49" fontId="9" fillId="0" borderId="40" xfId="0" applyNumberFormat="1" applyFont="1" applyBorder="1" applyAlignment="1">
      <alignment horizontal="center"/>
    </xf>
    <xf numFmtId="49" fontId="0" fillId="0" borderId="40" xfId="0" applyNumberFormat="1" applyBorder="1"/>
    <xf numFmtId="49" fontId="4" fillId="0" borderId="40" xfId="0" applyNumberFormat="1" applyFont="1" applyBorder="1"/>
    <xf numFmtId="0" fontId="3" fillId="0" borderId="4" xfId="0" applyFont="1" applyBorder="1" applyAlignment="1">
      <alignment horizontal="center"/>
    </xf>
    <xf numFmtId="0" fontId="0" fillId="0" borderId="39" xfId="0" applyBorder="1"/>
    <xf numFmtId="4" fontId="0" fillId="0" borderId="24" xfId="0" applyNumberFormat="1" applyBorder="1"/>
    <xf numFmtId="4" fontId="0" fillId="0" borderId="6" xfId="0" applyNumberFormat="1" applyBorder="1"/>
    <xf numFmtId="4" fontId="11" fillId="0" borderId="4" xfId="0" applyNumberFormat="1" applyFont="1" applyBorder="1"/>
    <xf numFmtId="4" fontId="0" fillId="0" borderId="39" xfId="0" applyNumberFormat="1" applyBorder="1"/>
    <xf numFmtId="3" fontId="0" fillId="0" borderId="24" xfId="0" applyNumberFormat="1" applyBorder="1"/>
    <xf numFmtId="164" fontId="0" fillId="0" borderId="6" xfId="0" applyNumberFormat="1" applyBorder="1"/>
    <xf numFmtId="167" fontId="3" fillId="0" borderId="4" xfId="0" applyNumberFormat="1" applyFont="1" applyBorder="1"/>
    <xf numFmtId="3" fontId="0" fillId="0" borderId="6" xfId="0" applyNumberFormat="1" applyBorder="1"/>
    <xf numFmtId="4" fontId="0" fillId="0" borderId="41" xfId="0" applyNumberFormat="1" applyBorder="1"/>
    <xf numFmtId="4" fontId="10" fillId="0" borderId="24" xfId="0" applyNumberFormat="1" applyFont="1" applyBorder="1"/>
    <xf numFmtId="4" fontId="2" fillId="0" borderId="42" xfId="0" applyNumberFormat="1" applyFont="1" applyBorder="1"/>
    <xf numFmtId="166" fontId="3" fillId="0" borderId="4" xfId="0" applyNumberFormat="1" applyFont="1" applyBorder="1"/>
    <xf numFmtId="165" fontId="3" fillId="0" borderId="43" xfId="0" applyNumberFormat="1" applyFont="1" applyBorder="1" applyAlignment="1">
      <alignment horizontal="center"/>
    </xf>
    <xf numFmtId="165" fontId="12" fillId="0" borderId="44" xfId="0" applyNumberFormat="1" applyFont="1" applyBorder="1" applyAlignment="1">
      <alignment horizontal="center" vertical="center"/>
    </xf>
    <xf numFmtId="165" fontId="0" fillId="0" borderId="6" xfId="0" applyNumberFormat="1" applyBorder="1"/>
    <xf numFmtId="165" fontId="0" fillId="0" borderId="45" xfId="0" applyNumberFormat="1" applyBorder="1"/>
    <xf numFmtId="165" fontId="3" fillId="0" borderId="28" xfId="0" applyNumberFormat="1" applyFont="1" applyBorder="1"/>
    <xf numFmtId="165" fontId="0" fillId="0" borderId="46" xfId="0" applyNumberFormat="1" applyBorder="1"/>
    <xf numFmtId="0" fontId="3" fillId="0" borderId="28" xfId="0" applyFont="1" applyBorder="1" applyAlignment="1">
      <alignment horizontal="center"/>
    </xf>
    <xf numFmtId="165" fontId="3" fillId="0" borderId="26" xfId="0" applyNumberFormat="1" applyFont="1" applyBorder="1"/>
    <xf numFmtId="0" fontId="31" fillId="0" borderId="0" xfId="0" applyFont="1" applyAlignment="1">
      <alignment horizontal="right"/>
    </xf>
    <xf numFmtId="0" fontId="1" fillId="0" borderId="2" xfId="0" applyFont="1" applyBorder="1"/>
    <xf numFmtId="165" fontId="32" fillId="0" borderId="3" xfId="0" applyNumberFormat="1" applyFont="1" applyBorder="1" applyAlignment="1">
      <alignment horizontal="center"/>
    </xf>
    <xf numFmtId="2" fontId="1" fillId="0" borderId="36" xfId="0" applyNumberFormat="1" applyFont="1" applyBorder="1"/>
    <xf numFmtId="0" fontId="6" fillId="0" borderId="0" xfId="0" applyFont="1" applyAlignment="1">
      <alignment horizontal="center"/>
    </xf>
    <xf numFmtId="0" fontId="0" fillId="0" borderId="0" xfId="0" applyAlignment="1">
      <alignment horizontal="center"/>
    </xf>
    <xf numFmtId="0" fontId="13" fillId="3" borderId="0" xfId="0" applyFont="1" applyFill="1" applyAlignment="1">
      <alignment horizontal="center"/>
    </xf>
    <xf numFmtId="0" fontId="16" fillId="3" borderId="0" xfId="0" applyFont="1" applyFill="1" applyAlignment="1">
      <alignment horizontal="center"/>
    </xf>
    <xf numFmtId="0" fontId="15" fillId="3" borderId="0" xfId="0" applyFont="1" applyFill="1" applyAlignment="1">
      <alignment horizontal="center"/>
    </xf>
    <xf numFmtId="0" fontId="18" fillId="2" borderId="34" xfId="0" applyFont="1" applyFill="1" applyBorder="1" applyAlignment="1">
      <alignment horizontal="left" wrapText="1" indent="8"/>
    </xf>
    <xf numFmtId="0" fontId="18" fillId="2" borderId="30" xfId="0" applyFont="1" applyFill="1" applyBorder="1" applyAlignment="1">
      <alignment horizontal="left" wrapText="1" indent="8"/>
    </xf>
    <xf numFmtId="0" fontId="18" fillId="2" borderId="34" xfId="0" applyFont="1" applyFill="1" applyBorder="1" applyAlignment="1">
      <alignment horizontal="center" wrapText="1"/>
    </xf>
    <xf numFmtId="0" fontId="18" fillId="2" borderId="30" xfId="0" applyFont="1" applyFill="1" applyBorder="1" applyAlignment="1">
      <alignment horizontal="center" wrapText="1"/>
    </xf>
    <xf numFmtId="0" fontId="18" fillId="0" borderId="37" xfId="0" applyFont="1" applyBorder="1" applyAlignment="1">
      <alignment vertical="center" wrapText="1"/>
    </xf>
    <xf numFmtId="0" fontId="18" fillId="0" borderId="31" xfId="0" applyFont="1" applyBorder="1" applyAlignment="1">
      <alignment vertical="center" wrapText="1"/>
    </xf>
    <xf numFmtId="169" fontId="22" fillId="0" borderId="37" xfId="0" applyNumberFormat="1" applyFont="1" applyBorder="1" applyAlignment="1">
      <alignment vertical="center" wrapText="1"/>
    </xf>
    <xf numFmtId="169" fontId="22" fillId="0" borderId="31" xfId="0" applyNumberFormat="1" applyFont="1" applyBorder="1" applyAlignment="1">
      <alignment vertical="center" wrapText="1"/>
    </xf>
    <xf numFmtId="0" fontId="20" fillId="0" borderId="0" xfId="0" applyFont="1" applyAlignment="1">
      <alignment horizontal="left" wrapText="1"/>
    </xf>
    <xf numFmtId="0" fontId="27" fillId="0" borderId="0" xfId="0" applyFont="1" applyAlignment="1">
      <alignment horizontal="left" wrapText="1"/>
    </xf>
    <xf numFmtId="0" fontId="18" fillId="0" borderId="37" xfId="0" applyFont="1" applyBorder="1" applyAlignment="1">
      <alignment horizontal="center" vertical="center" wrapText="1"/>
    </xf>
    <xf numFmtId="0" fontId="18" fillId="0" borderId="31" xfId="0" applyFont="1" applyBorder="1" applyAlignment="1">
      <alignment horizontal="center" vertical="center" wrapText="1"/>
    </xf>
    <xf numFmtId="0" fontId="27" fillId="0" borderId="38"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BIQUETO\Documents\MODIFIE%20SOUVENT\BILLARD\Ant&#233;riorit&#233;%20BCV%20juil%2089%20&#224;%20juin%2020xx\EXERCICE%202016-2017\TRESORERIE%202016-2017\Bilan%20Tresorerie%202016-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ttes"/>
      <sheetName val="Banques"/>
      <sheetName val="Caisse"/>
      <sheetName val="Synth.Dépenses"/>
      <sheetName val="Synth.Recettes"/>
      <sheetName val="Synth,Générale"/>
      <sheetName val="OMS"/>
      <sheetName val="Sce compt Mairie"/>
      <sheetName val="Prévision N+1"/>
      <sheetName val="Prévision Mai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9">
          <cell r="A59">
            <v>0</v>
          </cell>
        </row>
      </sheetData>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1"/>
  <sheetViews>
    <sheetView tabSelected="1" topLeftCell="A52" zoomScaleNormal="100" workbookViewId="0">
      <selection activeCell="Y78" sqref="Y78"/>
    </sheetView>
  </sheetViews>
  <sheetFormatPr baseColWidth="10" defaultRowHeight="13.2" x14ac:dyDescent="0.25"/>
  <cols>
    <col min="1" max="1" width="33.44140625" customWidth="1"/>
    <col min="2" max="15" width="10.6640625" hidden="1" customWidth="1"/>
    <col min="16" max="16" width="11.33203125" hidden="1" customWidth="1"/>
    <col min="17" max="20" width="11.33203125" customWidth="1"/>
    <col min="21" max="21" width="2.44140625" customWidth="1"/>
    <col min="22" max="22" width="11.5546875" customWidth="1"/>
    <col min="23" max="23" width="11.33203125" customWidth="1"/>
    <col min="24" max="24" width="1.33203125" customWidth="1"/>
    <col min="25" max="25" width="11.5546875" customWidth="1"/>
    <col min="26" max="26" width="10.6640625" customWidth="1"/>
    <col min="28" max="28" width="12.6640625" bestFit="1" customWidth="1"/>
  </cols>
  <sheetData>
    <row r="1" spans="1:29" ht="15.6" x14ac:dyDescent="0.3">
      <c r="A1" s="174" t="s">
        <v>172</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9" ht="15.6" x14ac:dyDescent="0.3">
      <c r="A2" s="50"/>
      <c r="H2" s="49"/>
      <c r="J2" s="29"/>
      <c r="K2" s="29"/>
      <c r="L2" s="29"/>
      <c r="M2" s="29"/>
      <c r="P2" s="29"/>
      <c r="Q2" s="29"/>
      <c r="R2" s="29"/>
      <c r="S2" s="29"/>
      <c r="T2" s="29"/>
      <c r="V2" s="29" t="s">
        <v>45</v>
      </c>
      <c r="W2" s="29" t="s">
        <v>171</v>
      </c>
      <c r="Y2" s="29" t="s">
        <v>45</v>
      </c>
      <c r="AA2" s="175" t="s">
        <v>174</v>
      </c>
      <c r="AB2" s="175"/>
    </row>
    <row r="3" spans="1:29" s="7" customFormat="1" ht="15.6" x14ac:dyDescent="0.3">
      <c r="A3" s="9" t="s">
        <v>15</v>
      </c>
      <c r="B3" s="9" t="s">
        <v>33</v>
      </c>
      <c r="C3" s="9" t="s">
        <v>34</v>
      </c>
      <c r="D3" s="9" t="s">
        <v>36</v>
      </c>
      <c r="E3" s="9" t="s">
        <v>40</v>
      </c>
      <c r="F3" s="9" t="s">
        <v>56</v>
      </c>
      <c r="G3" s="9" t="s">
        <v>57</v>
      </c>
      <c r="H3" s="9" t="s">
        <v>61</v>
      </c>
      <c r="I3" s="9" t="s">
        <v>60</v>
      </c>
      <c r="J3" s="9" t="s">
        <v>62</v>
      </c>
      <c r="K3" s="9" t="s">
        <v>63</v>
      </c>
      <c r="L3" s="9" t="s">
        <v>64</v>
      </c>
      <c r="M3" s="9" t="s">
        <v>68</v>
      </c>
      <c r="N3" s="9" t="s">
        <v>69</v>
      </c>
      <c r="O3" s="9" t="s">
        <v>70</v>
      </c>
      <c r="P3" s="148" t="s">
        <v>71</v>
      </c>
      <c r="Q3" s="9" t="s">
        <v>173</v>
      </c>
      <c r="R3" s="9" t="s">
        <v>183</v>
      </c>
      <c r="S3" s="9" t="s">
        <v>181</v>
      </c>
      <c r="T3" s="9" t="s">
        <v>182</v>
      </c>
      <c r="V3" s="9" t="s">
        <v>185</v>
      </c>
      <c r="W3" s="9" t="s">
        <v>185</v>
      </c>
      <c r="Y3" s="9" t="s">
        <v>187</v>
      </c>
      <c r="AA3" s="137" t="s">
        <v>167</v>
      </c>
      <c r="AB3" s="137" t="s">
        <v>168</v>
      </c>
    </row>
    <row r="4" spans="1:29" ht="6.75" customHeight="1" x14ac:dyDescent="0.25">
      <c r="A4" s="1"/>
      <c r="B4" s="1"/>
      <c r="C4" s="1"/>
      <c r="D4" s="1"/>
      <c r="E4" s="1"/>
      <c r="F4" s="1"/>
      <c r="G4" s="1"/>
      <c r="H4" s="1"/>
      <c r="I4" s="1"/>
      <c r="J4" s="1"/>
      <c r="K4" s="1"/>
      <c r="L4" s="1"/>
      <c r="M4" s="63"/>
      <c r="N4" s="1"/>
      <c r="O4" s="1"/>
      <c r="P4" s="23"/>
      <c r="Q4" s="1"/>
      <c r="R4" s="1"/>
      <c r="S4" s="1"/>
      <c r="T4" s="1"/>
      <c r="V4" s="1"/>
      <c r="W4" s="1"/>
      <c r="Y4" s="1"/>
      <c r="Z4" s="23"/>
    </row>
    <row r="5" spans="1:29" ht="15.6" x14ac:dyDescent="0.3">
      <c r="A5" s="31" t="s">
        <v>24</v>
      </c>
      <c r="B5" s="33"/>
      <c r="C5" s="33"/>
      <c r="D5" s="33"/>
      <c r="E5" s="33"/>
      <c r="F5" s="33"/>
      <c r="G5" s="33"/>
      <c r="H5" s="33"/>
      <c r="I5" s="33"/>
      <c r="J5" s="33"/>
      <c r="K5" s="33"/>
      <c r="L5" s="33"/>
      <c r="M5" s="33"/>
      <c r="N5" s="33"/>
      <c r="O5" s="33"/>
      <c r="P5" s="149"/>
      <c r="Q5" s="33"/>
      <c r="R5" s="33"/>
      <c r="S5" s="33"/>
      <c r="T5" s="33"/>
      <c r="V5" s="33"/>
      <c r="W5" s="33"/>
      <c r="Y5" s="33"/>
      <c r="Z5" s="142" t="s">
        <v>83</v>
      </c>
      <c r="AC5" s="46"/>
    </row>
    <row r="6" spans="1:29" ht="13.5" customHeight="1" x14ac:dyDescent="0.25">
      <c r="A6" s="3" t="s">
        <v>180</v>
      </c>
      <c r="B6" s="4">
        <v>4080.57</v>
      </c>
      <c r="C6" s="4">
        <v>4332</v>
      </c>
      <c r="D6" s="4">
        <v>4296</v>
      </c>
      <c r="E6" s="4">
        <v>4038</v>
      </c>
      <c r="F6" s="4">
        <v>4065</v>
      </c>
      <c r="G6" s="4">
        <v>5552</v>
      </c>
      <c r="H6" s="4">
        <f>2374+2926</f>
        <v>5300</v>
      </c>
      <c r="I6" s="4">
        <v>5356</v>
      </c>
      <c r="J6" s="4">
        <v>5937</v>
      </c>
      <c r="K6" s="4">
        <v>6054</v>
      </c>
      <c r="L6" s="76">
        <v>5960</v>
      </c>
      <c r="M6" s="76">
        <f>2439+3300</f>
        <v>5739</v>
      </c>
      <c r="N6" s="76">
        <v>5428</v>
      </c>
      <c r="O6" s="76">
        <f>2030+2820</f>
        <v>4850</v>
      </c>
      <c r="P6" s="150">
        <f>1946+2686</f>
        <v>4632</v>
      </c>
      <c r="Q6" s="76">
        <v>4847</v>
      </c>
      <c r="R6" s="76">
        <v>4441</v>
      </c>
      <c r="S6" s="76">
        <f>2848+1820</f>
        <v>4668</v>
      </c>
      <c r="T6" s="76">
        <v>6657</v>
      </c>
      <c r="V6" s="76">
        <v>6000</v>
      </c>
      <c r="W6" s="76">
        <v>7469</v>
      </c>
      <c r="X6" s="75"/>
      <c r="Y6" s="76">
        <v>5500</v>
      </c>
      <c r="Z6" s="143" t="s">
        <v>73</v>
      </c>
      <c r="AA6" s="136"/>
      <c r="AB6" s="136"/>
      <c r="AC6" s="3"/>
    </row>
    <row r="7" spans="1:29" ht="13.5" customHeight="1" x14ac:dyDescent="0.25">
      <c r="A7" s="3" t="s">
        <v>31</v>
      </c>
      <c r="B7" s="4">
        <v>4748.7</v>
      </c>
      <c r="C7" s="4">
        <v>5243</v>
      </c>
      <c r="D7" s="4">
        <v>4815</v>
      </c>
      <c r="E7" s="4">
        <v>5564</v>
      </c>
      <c r="F7" s="4">
        <v>5654</v>
      </c>
      <c r="G7" s="4">
        <v>4500</v>
      </c>
      <c r="H7" s="4">
        <v>5100</v>
      </c>
      <c r="I7" s="4">
        <v>4615</v>
      </c>
      <c r="J7" s="4">
        <v>4980</v>
      </c>
      <c r="K7" s="4">
        <v>5530</v>
      </c>
      <c r="L7" s="76">
        <v>4520</v>
      </c>
      <c r="M7" s="76">
        <v>5045</v>
      </c>
      <c r="N7" s="76">
        <v>4680</v>
      </c>
      <c r="O7" s="76">
        <v>4100</v>
      </c>
      <c r="P7" s="150">
        <v>4400</v>
      </c>
      <c r="Q7" s="76">
        <v>6430.2</v>
      </c>
      <c r="R7" s="76">
        <v>1750</v>
      </c>
      <c r="S7" s="76">
        <v>5453</v>
      </c>
      <c r="T7" s="76">
        <v>4596</v>
      </c>
      <c r="V7" s="76">
        <v>4300</v>
      </c>
      <c r="W7" s="76">
        <v>5559</v>
      </c>
      <c r="X7" s="75"/>
      <c r="Y7" s="76">
        <v>5000</v>
      </c>
      <c r="Z7" s="144" t="s">
        <v>74</v>
      </c>
      <c r="AA7" s="136"/>
      <c r="AB7" s="136"/>
      <c r="AC7" s="3"/>
    </row>
    <row r="8" spans="1:29" ht="13.5" customHeight="1" x14ac:dyDescent="0.25">
      <c r="A8" s="3" t="s">
        <v>32</v>
      </c>
      <c r="B8" s="4">
        <v>2595.65</v>
      </c>
      <c r="C8" s="4">
        <v>3321.85</v>
      </c>
      <c r="D8" s="4">
        <v>3025.89</v>
      </c>
      <c r="E8" s="4">
        <v>3111.28</v>
      </c>
      <c r="F8" s="4">
        <v>3650.4</v>
      </c>
      <c r="G8" s="4">
        <v>2996.8</v>
      </c>
      <c r="H8" s="4">
        <v>2895</v>
      </c>
      <c r="I8" s="4">
        <v>3220</v>
      </c>
      <c r="J8" s="4">
        <v>2907.9</v>
      </c>
      <c r="K8" s="4">
        <v>2442.1999999999998</v>
      </c>
      <c r="L8" s="76">
        <v>1906.7</v>
      </c>
      <c r="M8" s="76">
        <v>2327.8000000000002</v>
      </c>
      <c r="N8" s="76">
        <v>2124.1999999999998</v>
      </c>
      <c r="O8" s="76">
        <v>2107.6999999999998</v>
      </c>
      <c r="P8" s="150">
        <v>1783.85</v>
      </c>
      <c r="Q8" s="76">
        <v>505.20000000000005</v>
      </c>
      <c r="R8" s="76">
        <v>127.1</v>
      </c>
      <c r="S8" s="76">
        <v>239.1</v>
      </c>
      <c r="T8" s="76">
        <v>308</v>
      </c>
      <c r="V8" s="76">
        <v>150</v>
      </c>
      <c r="W8" s="76">
        <v>600</v>
      </c>
      <c r="X8" s="75"/>
      <c r="Y8" s="76">
        <v>500</v>
      </c>
      <c r="Z8" s="144" t="s">
        <v>74</v>
      </c>
      <c r="AA8" s="136"/>
      <c r="AB8" s="136"/>
      <c r="AC8" s="3"/>
    </row>
    <row r="9" spans="1:29" ht="13.5" customHeight="1" x14ac:dyDescent="0.25">
      <c r="A9" s="3" t="s">
        <v>0</v>
      </c>
      <c r="B9" s="4">
        <v>4014.15</v>
      </c>
      <c r="C9" s="4">
        <v>3738.39</v>
      </c>
      <c r="D9" s="4">
        <v>3590.58</v>
      </c>
      <c r="E9" s="4">
        <v>3563</v>
      </c>
      <c r="F9" s="4">
        <v>3221.9</v>
      </c>
      <c r="G9" s="4">
        <v>2678</v>
      </c>
      <c r="H9" s="4">
        <v>2914</v>
      </c>
      <c r="I9" s="4">
        <v>2655.6</v>
      </c>
      <c r="J9" s="4">
        <v>3347.5</v>
      </c>
      <c r="K9" s="4">
        <v>4124.3</v>
      </c>
      <c r="L9" s="76">
        <v>2729.3</v>
      </c>
      <c r="M9" s="76">
        <v>3827.9</v>
      </c>
      <c r="N9" s="76">
        <v>3685.4</v>
      </c>
      <c r="O9" s="76">
        <v>2956.9</v>
      </c>
      <c r="P9" s="150">
        <v>3316.1</v>
      </c>
      <c r="Q9" s="76">
        <v>4213.5999999999995</v>
      </c>
      <c r="R9" s="76">
        <v>2050.9499999999998</v>
      </c>
      <c r="S9" s="76">
        <v>5227.75</v>
      </c>
      <c r="T9" s="76">
        <v>5388</v>
      </c>
      <c r="V9" s="76">
        <v>4900</v>
      </c>
      <c r="W9" s="76">
        <v>6069</v>
      </c>
      <c r="X9" s="75"/>
      <c r="Y9" s="76">
        <v>5900</v>
      </c>
      <c r="Z9" s="144" t="s">
        <v>75</v>
      </c>
      <c r="AA9" s="136"/>
      <c r="AB9" s="136"/>
      <c r="AC9" s="3"/>
    </row>
    <row r="10" spans="1:29" ht="13.5" customHeight="1" x14ac:dyDescent="0.25">
      <c r="A10" s="3" t="s">
        <v>1</v>
      </c>
      <c r="B10" s="4">
        <v>21.34</v>
      </c>
      <c r="C10" s="4"/>
      <c r="D10" s="4"/>
      <c r="E10" s="4"/>
      <c r="F10" s="4">
        <v>144</v>
      </c>
      <c r="G10" s="4">
        <v>820</v>
      </c>
      <c r="H10" s="4">
        <v>352</v>
      </c>
      <c r="I10" s="4">
        <v>0</v>
      </c>
      <c r="J10" s="4">
        <v>0</v>
      </c>
      <c r="K10" s="4"/>
      <c r="L10" s="76">
        <v>250</v>
      </c>
      <c r="M10" s="76">
        <v>845.5</v>
      </c>
      <c r="N10" s="76">
        <v>1118.33</v>
      </c>
      <c r="O10" s="76"/>
      <c r="P10" s="150">
        <v>330</v>
      </c>
      <c r="Q10" s="76">
        <v>0</v>
      </c>
      <c r="R10" s="76">
        <v>0</v>
      </c>
      <c r="S10" s="76">
        <v>135</v>
      </c>
      <c r="T10" s="76">
        <v>0</v>
      </c>
      <c r="V10" s="76"/>
      <c r="W10" s="76">
        <v>0</v>
      </c>
      <c r="X10" s="75"/>
      <c r="Y10" s="76"/>
      <c r="Z10" s="144" t="s">
        <v>76</v>
      </c>
      <c r="AA10" s="136"/>
      <c r="AB10" s="136"/>
      <c r="AC10" s="3"/>
    </row>
    <row r="11" spans="1:29" ht="13.5" customHeight="1" x14ac:dyDescent="0.25">
      <c r="A11" s="3" t="s">
        <v>2</v>
      </c>
      <c r="B11" s="4"/>
      <c r="C11" s="4"/>
      <c r="D11" s="4"/>
      <c r="E11" s="4">
        <v>127</v>
      </c>
      <c r="F11" s="4"/>
      <c r="G11" s="4"/>
      <c r="H11" s="4"/>
      <c r="I11" s="4"/>
      <c r="J11" s="4"/>
      <c r="K11" s="4">
        <v>150</v>
      </c>
      <c r="L11" s="76"/>
      <c r="M11" s="76"/>
      <c r="N11" s="76"/>
      <c r="O11" s="76"/>
      <c r="P11" s="150"/>
      <c r="Q11" s="76">
        <v>145</v>
      </c>
      <c r="R11" s="76">
        <v>0</v>
      </c>
      <c r="S11" s="76">
        <f t="shared" ref="S11" si="0">W11+X11</f>
        <v>0</v>
      </c>
      <c r="T11" s="76">
        <f t="shared" ref="T11" si="1">X11+Y11</f>
        <v>410</v>
      </c>
      <c r="V11" s="76"/>
      <c r="W11" s="76"/>
      <c r="X11" s="75"/>
      <c r="Y11" s="76">
        <v>410</v>
      </c>
      <c r="Z11" s="144" t="s">
        <v>87</v>
      </c>
      <c r="AA11" s="136"/>
      <c r="AB11" s="136"/>
      <c r="AC11" s="3"/>
    </row>
    <row r="12" spans="1:29" ht="13.5" customHeight="1" x14ac:dyDescent="0.25">
      <c r="A12" s="3" t="s">
        <v>3</v>
      </c>
      <c r="B12" s="4">
        <v>3759.2</v>
      </c>
      <c r="C12" s="4">
        <v>4129.32</v>
      </c>
      <c r="D12" s="4">
        <v>4313.08</v>
      </c>
      <c r="E12" s="4">
        <v>3225.5</v>
      </c>
      <c r="F12" s="4">
        <v>4839</v>
      </c>
      <c r="G12" s="4">
        <v>4600.6000000000004</v>
      </c>
      <c r="H12" s="4">
        <v>3987</v>
      </c>
      <c r="I12" s="4">
        <v>3441</v>
      </c>
      <c r="J12" s="4">
        <v>3019</v>
      </c>
      <c r="K12" s="4">
        <v>2959</v>
      </c>
      <c r="L12" s="76">
        <v>3016</v>
      </c>
      <c r="M12" s="76">
        <v>2274</v>
      </c>
      <c r="N12" s="76">
        <v>3900</v>
      </c>
      <c r="O12" s="76">
        <v>2640</v>
      </c>
      <c r="P12" s="150">
        <v>2330</v>
      </c>
      <c r="Q12" s="76">
        <v>1645</v>
      </c>
      <c r="R12" s="76">
        <v>0</v>
      </c>
      <c r="S12" s="76">
        <v>940</v>
      </c>
      <c r="T12" s="76">
        <v>1260</v>
      </c>
      <c r="V12" s="76">
        <v>800</v>
      </c>
      <c r="W12" s="76">
        <v>5720</v>
      </c>
      <c r="X12" s="75"/>
      <c r="Y12" s="76">
        <v>1500</v>
      </c>
      <c r="Z12" s="144" t="s">
        <v>77</v>
      </c>
      <c r="AA12" s="136"/>
      <c r="AB12" s="136"/>
      <c r="AC12" s="3"/>
    </row>
    <row r="13" spans="1:29" x14ac:dyDescent="0.25">
      <c r="A13" s="3" t="s">
        <v>66</v>
      </c>
      <c r="B13" s="4"/>
      <c r="C13" s="4"/>
      <c r="D13" s="4"/>
      <c r="E13" s="4"/>
      <c r="F13" s="4"/>
      <c r="G13" s="4"/>
      <c r="H13" s="4"/>
      <c r="I13" s="4"/>
      <c r="J13" s="4"/>
      <c r="K13" s="4">
        <v>486.94</v>
      </c>
      <c r="L13" s="76">
        <v>783.3</v>
      </c>
      <c r="M13" s="76">
        <v>2884.98</v>
      </c>
      <c r="N13" s="76">
        <v>14590.71</v>
      </c>
      <c r="O13" s="76">
        <v>14583.85</v>
      </c>
      <c r="P13" s="150">
        <v>14177.64</v>
      </c>
      <c r="Q13" s="82">
        <v>16317.93</v>
      </c>
      <c r="R13" s="76">
        <v>11095.05</v>
      </c>
      <c r="S13" s="82">
        <v>10538.01</v>
      </c>
      <c r="T13" s="82">
        <v>14257.5</v>
      </c>
      <c r="V13" s="76">
        <v>15000</v>
      </c>
      <c r="W13" s="82">
        <v>12715</v>
      </c>
      <c r="X13" s="75"/>
      <c r="Y13" s="76">
        <v>13000</v>
      </c>
      <c r="Z13" s="144" t="s">
        <v>78</v>
      </c>
      <c r="AA13" s="136"/>
      <c r="AB13" s="136"/>
      <c r="AC13" s="10"/>
    </row>
    <row r="14" spans="1:29" ht="13.5" customHeight="1" x14ac:dyDescent="0.25">
      <c r="A14" s="3" t="s">
        <v>179</v>
      </c>
      <c r="B14" s="4">
        <v>582.20000000000005</v>
      </c>
      <c r="C14" s="4">
        <v>0</v>
      </c>
      <c r="D14" s="4">
        <v>378.9</v>
      </c>
      <c r="E14" s="4">
        <v>1212.74</v>
      </c>
      <c r="F14" s="4">
        <v>587</v>
      </c>
      <c r="G14" s="4">
        <v>777</v>
      </c>
      <c r="H14" s="4">
        <v>781</v>
      </c>
      <c r="I14" s="4">
        <v>1229.47</v>
      </c>
      <c r="J14" s="4">
        <v>715</v>
      </c>
      <c r="K14" s="4">
        <v>844</v>
      </c>
      <c r="L14" s="76">
        <v>922</v>
      </c>
      <c r="M14" s="76">
        <v>813</v>
      </c>
      <c r="N14" s="76">
        <v>810</v>
      </c>
      <c r="O14" s="76">
        <v>765</v>
      </c>
      <c r="P14" s="150">
        <v>510</v>
      </c>
      <c r="Q14" s="76">
        <v>4010</v>
      </c>
      <c r="R14" s="76">
        <v>982.9</v>
      </c>
      <c r="S14" s="76">
        <v>2845</v>
      </c>
      <c r="T14" s="76">
        <v>1300</v>
      </c>
      <c r="V14" s="76">
        <v>2000</v>
      </c>
      <c r="W14" s="76">
        <v>1635</v>
      </c>
      <c r="X14" s="75"/>
      <c r="Y14" s="76">
        <v>2000</v>
      </c>
      <c r="Z14" s="144" t="s">
        <v>79</v>
      </c>
      <c r="AA14" s="136"/>
      <c r="AB14" s="136"/>
      <c r="AC14" s="3"/>
    </row>
    <row r="15" spans="1:29" ht="13.5" customHeight="1" x14ac:dyDescent="0.25">
      <c r="A15" s="171" t="s">
        <v>177</v>
      </c>
      <c r="B15" s="4"/>
      <c r="C15" s="4"/>
      <c r="D15" s="4"/>
      <c r="E15" s="4"/>
      <c r="F15" s="4"/>
      <c r="G15" s="4"/>
      <c r="H15" s="4"/>
      <c r="I15" s="4"/>
      <c r="J15" s="4"/>
      <c r="K15" s="4"/>
      <c r="L15" s="76"/>
      <c r="M15" s="76"/>
      <c r="N15" s="76"/>
      <c r="O15" s="76"/>
      <c r="P15" s="150"/>
      <c r="Q15" s="76">
        <v>1575</v>
      </c>
      <c r="R15" s="76">
        <v>500</v>
      </c>
      <c r="S15" s="76">
        <f>S14-775</f>
        <v>2070</v>
      </c>
      <c r="T15" s="76">
        <v>0</v>
      </c>
      <c r="V15" s="76">
        <v>1300</v>
      </c>
      <c r="W15" s="76">
        <v>250</v>
      </c>
      <c r="X15" s="75"/>
      <c r="Y15" s="76">
        <v>500</v>
      </c>
      <c r="Z15" s="143"/>
      <c r="AA15" s="136"/>
      <c r="AB15" s="136"/>
      <c r="AC15" s="3"/>
    </row>
    <row r="16" spans="1:29" ht="13.5" hidden="1" customHeight="1" thickBot="1" x14ac:dyDescent="0.3">
      <c r="A16" s="10" t="s">
        <v>20</v>
      </c>
      <c r="B16" s="16"/>
      <c r="C16" s="4"/>
      <c r="D16" s="4"/>
      <c r="E16" s="4"/>
      <c r="F16" s="4"/>
      <c r="G16" s="4"/>
      <c r="H16" s="4"/>
      <c r="I16" s="4"/>
      <c r="J16" s="4"/>
      <c r="K16" s="4"/>
      <c r="L16" s="76"/>
      <c r="M16" s="76"/>
      <c r="N16" s="76"/>
      <c r="O16" s="76"/>
      <c r="P16" s="150"/>
      <c r="Q16" s="76">
        <v>0</v>
      </c>
      <c r="R16" s="76"/>
      <c r="S16" s="76">
        <f t="shared" ref="S16:S17" si="2">W16+X16</f>
        <v>0</v>
      </c>
      <c r="T16" s="76">
        <f t="shared" ref="T16:T25" si="3">X16+Y16</f>
        <v>0</v>
      </c>
      <c r="V16" s="76"/>
      <c r="W16" s="76"/>
      <c r="X16" s="75"/>
      <c r="Y16" s="76"/>
      <c r="Z16" s="143"/>
      <c r="AA16" s="136"/>
      <c r="AB16" s="136"/>
      <c r="AC16" s="3"/>
    </row>
    <row r="17" spans="1:29" ht="13.5" hidden="1" customHeight="1" thickBot="1" x14ac:dyDescent="0.3">
      <c r="A17" s="2" t="s">
        <v>28</v>
      </c>
      <c r="B17" s="18">
        <v>3782</v>
      </c>
      <c r="C17" s="4"/>
      <c r="D17" s="4"/>
      <c r="E17" s="4"/>
      <c r="F17" s="4"/>
      <c r="G17" s="4"/>
      <c r="H17" s="4"/>
      <c r="I17" s="4"/>
      <c r="J17" s="4"/>
      <c r="K17" s="4"/>
      <c r="L17" s="76"/>
      <c r="M17" s="76"/>
      <c r="N17" s="76"/>
      <c r="O17" s="76"/>
      <c r="P17" s="150"/>
      <c r="Q17" s="76">
        <v>0</v>
      </c>
      <c r="R17" s="76"/>
      <c r="S17" s="76">
        <f t="shared" si="2"/>
        <v>0</v>
      </c>
      <c r="T17" s="76">
        <f t="shared" si="3"/>
        <v>0</v>
      </c>
      <c r="V17" s="76"/>
      <c r="W17" s="76"/>
      <c r="X17" s="75"/>
      <c r="Y17" s="76"/>
      <c r="Z17" s="143"/>
      <c r="AA17" s="136"/>
      <c r="AB17" s="136"/>
      <c r="AC17" s="3"/>
    </row>
    <row r="18" spans="1:29" ht="13.5" customHeight="1" x14ac:dyDescent="0.25">
      <c r="A18" s="3" t="s">
        <v>169</v>
      </c>
      <c r="B18" s="17">
        <v>297.48</v>
      </c>
      <c r="C18" s="17">
        <f>297.25+0.55</f>
        <v>297.8</v>
      </c>
      <c r="D18" s="17">
        <v>297.25</v>
      </c>
      <c r="E18" s="17">
        <v>297.66000000000003</v>
      </c>
      <c r="F18" s="17">
        <v>297.64</v>
      </c>
      <c r="G18" s="17">
        <v>82.67</v>
      </c>
      <c r="H18" s="17">
        <v>0</v>
      </c>
      <c r="I18" s="17">
        <v>0.47</v>
      </c>
      <c r="J18" s="17">
        <v>0</v>
      </c>
      <c r="K18" s="17">
        <v>0.41</v>
      </c>
      <c r="L18" s="73">
        <v>0</v>
      </c>
      <c r="M18" s="73">
        <v>0.38</v>
      </c>
      <c r="N18" s="74">
        <v>0.33</v>
      </c>
      <c r="O18" s="73">
        <v>0.25</v>
      </c>
      <c r="P18" s="151">
        <v>0.21</v>
      </c>
      <c r="Q18" s="76">
        <v>9.51</v>
      </c>
      <c r="R18" s="73">
        <v>55</v>
      </c>
      <c r="S18" s="76">
        <v>150.19</v>
      </c>
      <c r="T18" s="76">
        <v>150.19</v>
      </c>
      <c r="U18" s="75"/>
      <c r="V18" s="73"/>
      <c r="W18" s="76"/>
      <c r="X18" s="75"/>
      <c r="Y18" s="73"/>
      <c r="Z18" s="144" t="s">
        <v>80</v>
      </c>
      <c r="AA18" s="136"/>
      <c r="AB18" s="136"/>
      <c r="AC18" s="3"/>
    </row>
    <row r="19" spans="1:29" s="65" customFormat="1" ht="13.5" customHeight="1" x14ac:dyDescent="0.25">
      <c r="A19" s="97" t="s">
        <v>170</v>
      </c>
      <c r="B19" s="98"/>
      <c r="C19" s="98"/>
      <c r="D19" s="98"/>
      <c r="E19" s="98"/>
      <c r="F19" s="98"/>
      <c r="G19" s="99"/>
      <c r="H19" s="99"/>
      <c r="I19" s="99"/>
      <c r="J19" s="99"/>
      <c r="K19" s="99"/>
      <c r="L19" s="100"/>
      <c r="M19" s="100"/>
      <c r="N19" s="101">
        <v>1000</v>
      </c>
      <c r="O19" s="102"/>
      <c r="P19" s="152">
        <v>2000</v>
      </c>
      <c r="Q19" s="76">
        <v>0</v>
      </c>
      <c r="R19" s="77"/>
      <c r="S19" s="76">
        <f t="shared" ref="S19:S20" si="4">W19+X19</f>
        <v>0</v>
      </c>
      <c r="T19" s="76">
        <f t="shared" si="3"/>
        <v>0</v>
      </c>
      <c r="U19" s="103"/>
      <c r="V19" s="77"/>
      <c r="W19" s="76"/>
      <c r="X19" s="78"/>
      <c r="Y19" s="77"/>
      <c r="Z19" s="145"/>
      <c r="AA19" s="140"/>
      <c r="AB19" s="139"/>
      <c r="AC19" s="3"/>
    </row>
    <row r="20" spans="1:29" ht="13.5" hidden="1" customHeight="1" thickBot="1" x14ac:dyDescent="0.3">
      <c r="A20" s="10" t="s">
        <v>20</v>
      </c>
      <c r="B20" s="37"/>
      <c r="C20" s="37"/>
      <c r="D20" s="37"/>
      <c r="E20" s="37"/>
      <c r="F20" s="4">
        <v>265</v>
      </c>
      <c r="G20" s="18"/>
      <c r="H20" s="18"/>
      <c r="I20" s="18"/>
      <c r="J20" s="18"/>
      <c r="K20" s="18"/>
      <c r="L20" s="80"/>
      <c r="M20" s="80"/>
      <c r="N20" s="73"/>
      <c r="O20" s="76"/>
      <c r="P20" s="153"/>
      <c r="Q20" s="76">
        <v>0</v>
      </c>
      <c r="R20" s="76"/>
      <c r="S20" s="76">
        <f t="shared" si="4"/>
        <v>0</v>
      </c>
      <c r="T20" s="76">
        <f t="shared" si="3"/>
        <v>0</v>
      </c>
      <c r="V20" s="76"/>
      <c r="W20" s="76"/>
      <c r="X20" s="75"/>
      <c r="Y20" s="76"/>
      <c r="Z20" s="143"/>
      <c r="AA20" s="136"/>
      <c r="AB20" s="136"/>
      <c r="AC20" s="3"/>
    </row>
    <row r="21" spans="1:29" ht="13.5" customHeight="1" x14ac:dyDescent="0.25">
      <c r="A21" s="3" t="s">
        <v>21</v>
      </c>
      <c r="B21" s="4">
        <v>278.14</v>
      </c>
      <c r="C21" s="4">
        <v>145.97</v>
      </c>
      <c r="D21" s="4">
        <v>160.19999999999999</v>
      </c>
      <c r="E21" s="4">
        <v>375</v>
      </c>
      <c r="F21" s="4">
        <v>265</v>
      </c>
      <c r="G21" s="17">
        <v>27.5</v>
      </c>
      <c r="H21" s="17">
        <v>10</v>
      </c>
      <c r="I21" s="17">
        <v>60</v>
      </c>
      <c r="J21" s="17">
        <v>79.7</v>
      </c>
      <c r="K21" s="17">
        <v>176</v>
      </c>
      <c r="L21" s="73">
        <v>40</v>
      </c>
      <c r="M21" s="73">
        <v>169</v>
      </c>
      <c r="N21" s="76">
        <v>135</v>
      </c>
      <c r="O21" s="76">
        <v>125</v>
      </c>
      <c r="P21" s="150">
        <v>80</v>
      </c>
      <c r="Q21" s="76">
        <v>26</v>
      </c>
      <c r="R21" s="76">
        <v>0</v>
      </c>
      <c r="S21" s="76">
        <f>72</f>
        <v>72</v>
      </c>
      <c r="T21" s="76">
        <v>324</v>
      </c>
      <c r="V21" s="76">
        <v>100</v>
      </c>
      <c r="W21" s="76"/>
      <c r="X21" s="75"/>
      <c r="Y21" s="76">
        <v>100</v>
      </c>
      <c r="Z21" s="144" t="s">
        <v>81</v>
      </c>
      <c r="AA21" s="136"/>
      <c r="AB21" s="136"/>
      <c r="AC21" s="3"/>
    </row>
    <row r="22" spans="1:29" hidden="1" x14ac:dyDescent="0.25">
      <c r="A22" s="3" t="s">
        <v>5</v>
      </c>
      <c r="B22" s="4"/>
      <c r="C22" s="4"/>
      <c r="D22" s="4"/>
      <c r="E22" s="4"/>
      <c r="F22" s="4"/>
      <c r="G22" s="4"/>
      <c r="H22" s="4"/>
      <c r="I22" s="4"/>
      <c r="J22" s="4"/>
      <c r="K22" s="4"/>
      <c r="L22" s="76"/>
      <c r="M22" s="76"/>
      <c r="N22" s="76"/>
      <c r="O22" s="76"/>
      <c r="P22" s="150"/>
      <c r="Q22" s="76">
        <v>0</v>
      </c>
      <c r="R22" s="76"/>
      <c r="S22" s="76">
        <f t="shared" ref="S22" si="5">W22+X22</f>
        <v>0</v>
      </c>
      <c r="T22" s="76">
        <f t="shared" si="3"/>
        <v>0</v>
      </c>
      <c r="V22" s="76"/>
      <c r="W22" s="76"/>
      <c r="X22" s="75"/>
      <c r="Y22" s="76"/>
      <c r="Z22" s="143"/>
      <c r="AA22" s="136"/>
      <c r="AB22" s="136"/>
      <c r="AC22" s="3"/>
    </row>
    <row r="23" spans="1:29" x14ac:dyDescent="0.25">
      <c r="A23" s="3" t="s">
        <v>4</v>
      </c>
      <c r="B23" s="4">
        <v>215.39</v>
      </c>
      <c r="C23" s="4">
        <v>10.06</v>
      </c>
      <c r="D23" s="4">
        <v>216.22</v>
      </c>
      <c r="E23" s="4">
        <v>106.91</v>
      </c>
      <c r="F23" s="4">
        <v>402.1</v>
      </c>
      <c r="G23" s="4">
        <v>57.7</v>
      </c>
      <c r="H23" s="4">
        <v>42</v>
      </c>
      <c r="I23" s="4">
        <v>188</v>
      </c>
      <c r="J23" s="4">
        <v>122.8</v>
      </c>
      <c r="K23" s="4">
        <v>134</v>
      </c>
      <c r="L23" s="76">
        <v>51.8</v>
      </c>
      <c r="M23" s="76">
        <v>31.1</v>
      </c>
      <c r="N23" s="76">
        <v>148.1</v>
      </c>
      <c r="O23" s="76">
        <v>55</v>
      </c>
      <c r="P23" s="150">
        <v>10</v>
      </c>
      <c r="Q23" s="76">
        <v>330.3</v>
      </c>
      <c r="R23" s="76">
        <v>12</v>
      </c>
      <c r="S23" s="76">
        <f>380.4</f>
        <v>380.4</v>
      </c>
      <c r="T23" s="76">
        <v>60</v>
      </c>
      <c r="V23" s="76">
        <v>100</v>
      </c>
      <c r="W23" s="76">
        <v>279.93</v>
      </c>
      <c r="X23" s="75"/>
      <c r="Y23" s="76">
        <v>100</v>
      </c>
      <c r="Z23" s="144" t="s">
        <v>82</v>
      </c>
      <c r="AA23" s="136"/>
      <c r="AB23" s="136"/>
      <c r="AC23" s="3"/>
    </row>
    <row r="24" spans="1:29" hidden="1" x14ac:dyDescent="0.25">
      <c r="A24" s="3" t="s">
        <v>19</v>
      </c>
      <c r="B24" s="4"/>
      <c r="C24" s="4"/>
      <c r="D24" s="4"/>
      <c r="E24" s="4"/>
      <c r="F24" s="4"/>
      <c r="G24" s="4"/>
      <c r="H24" s="4"/>
      <c r="I24" s="4"/>
      <c r="J24" s="4"/>
      <c r="K24" s="4"/>
      <c r="L24" s="4"/>
      <c r="M24" s="4"/>
      <c r="N24" s="4"/>
      <c r="O24" s="4"/>
      <c r="P24" s="154"/>
      <c r="Q24" s="76">
        <f t="shared" ref="Q24:Q25" si="6">U24+V24</f>
        <v>0</v>
      </c>
      <c r="R24" s="4"/>
      <c r="S24" s="76">
        <f t="shared" ref="S24:S25" si="7">W24+X24</f>
        <v>0</v>
      </c>
      <c r="T24" s="76">
        <f t="shared" si="3"/>
        <v>0</v>
      </c>
      <c r="V24" s="4"/>
      <c r="W24" s="76"/>
      <c r="Y24" s="4"/>
      <c r="Z24" s="146"/>
      <c r="AA24" s="135"/>
      <c r="AB24" s="135"/>
      <c r="AC24" s="3"/>
    </row>
    <row r="25" spans="1:29" hidden="1" x14ac:dyDescent="0.25">
      <c r="A25" s="1" t="s">
        <v>35</v>
      </c>
      <c r="B25" s="5">
        <v>0</v>
      </c>
      <c r="C25" s="5">
        <v>0</v>
      </c>
      <c r="D25" s="5">
        <v>0</v>
      </c>
      <c r="E25" s="5">
        <v>0</v>
      </c>
      <c r="F25" s="5">
        <v>0</v>
      </c>
      <c r="G25" s="5">
        <v>0</v>
      </c>
      <c r="H25" s="5">
        <v>0</v>
      </c>
      <c r="I25" s="5">
        <v>0</v>
      </c>
      <c r="J25" s="5">
        <v>0</v>
      </c>
      <c r="K25" s="5">
        <v>0</v>
      </c>
      <c r="L25" s="5">
        <v>0</v>
      </c>
      <c r="M25" s="5">
        <v>0</v>
      </c>
      <c r="N25" s="5">
        <v>0</v>
      </c>
      <c r="O25" s="5">
        <v>0</v>
      </c>
      <c r="P25" s="155">
        <v>0</v>
      </c>
      <c r="Q25" s="76">
        <f t="shared" si="6"/>
        <v>0</v>
      </c>
      <c r="R25" s="5">
        <v>0</v>
      </c>
      <c r="S25" s="76">
        <f t="shared" si="7"/>
        <v>0</v>
      </c>
      <c r="T25" s="76">
        <f t="shared" si="3"/>
        <v>0</v>
      </c>
      <c r="V25" s="5">
        <v>0</v>
      </c>
      <c r="W25" s="76"/>
      <c r="Y25" s="5"/>
      <c r="Z25" s="146"/>
      <c r="AA25" s="135"/>
      <c r="AB25" s="135"/>
      <c r="AC25" s="3"/>
    </row>
    <row r="26" spans="1:29" s="7" customFormat="1" ht="15.6" x14ac:dyDescent="0.3">
      <c r="A26" s="9" t="s">
        <v>16</v>
      </c>
      <c r="B26" s="22">
        <f>SUM(B6:B25)</f>
        <v>24374.82</v>
      </c>
      <c r="C26" s="22">
        <f>SUM(C6:C25)</f>
        <v>21218.390000000003</v>
      </c>
      <c r="D26" s="22">
        <f>SUM(D6:D25)</f>
        <v>21093.120000000003</v>
      </c>
      <c r="E26" s="22">
        <f>SUM(E6:E23)</f>
        <v>21621.09</v>
      </c>
      <c r="F26" s="22">
        <f>F6+F7+F8+F9+F10+F12+F14+F18+F21+F23</f>
        <v>23126.039999999997</v>
      </c>
      <c r="G26" s="22">
        <f>G6+G7+G8+G9+G10+G12+G14+G18+G21+G23</f>
        <v>22092.27</v>
      </c>
      <c r="H26" s="22">
        <f>H6+H7+H8+H9+H10+H12+H14+H18+H21+H23</f>
        <v>21381</v>
      </c>
      <c r="I26" s="22">
        <f>I6+I7+I8+I9+I10+I12+I14+I18+I21+I23</f>
        <v>20765.54</v>
      </c>
      <c r="J26" s="22">
        <f>J6+J7+J8+J9+J10+J12+J14+J18+J21+J23</f>
        <v>21108.9</v>
      </c>
      <c r="K26" s="22">
        <f t="shared" ref="K26:P26" si="8">SUM(K6:K23)</f>
        <v>22900.85</v>
      </c>
      <c r="L26" s="22">
        <f t="shared" si="8"/>
        <v>20179.099999999999</v>
      </c>
      <c r="M26" s="22">
        <f t="shared" si="8"/>
        <v>23957.66</v>
      </c>
      <c r="N26" s="22">
        <f t="shared" si="8"/>
        <v>37620.07</v>
      </c>
      <c r="O26" s="22">
        <f t="shared" si="8"/>
        <v>32183.699999999997</v>
      </c>
      <c r="P26" s="156">
        <f t="shared" si="8"/>
        <v>33569.800000000003</v>
      </c>
      <c r="Q26" s="22">
        <f t="shared" ref="Q26" si="9">SUM(Q6:Q23)-Q15</f>
        <v>38479.740000000005</v>
      </c>
      <c r="R26" s="22">
        <f t="shared" ref="R26:T26" si="10">SUM(R6:R23)-R15</f>
        <v>20514</v>
      </c>
      <c r="S26" s="22">
        <f t="shared" si="10"/>
        <v>30648.45</v>
      </c>
      <c r="T26" s="22">
        <f t="shared" si="10"/>
        <v>34710.69</v>
      </c>
      <c r="V26" s="22">
        <f>SUM(V6:V23)-V15</f>
        <v>33350</v>
      </c>
      <c r="W26" s="22">
        <f>SUM(W6:W23)-W15</f>
        <v>40046.93</v>
      </c>
      <c r="Y26" s="22">
        <f>SUM(Y6:Y23)-Y15</f>
        <v>34010</v>
      </c>
      <c r="Z26" s="147"/>
      <c r="AA26" s="22"/>
      <c r="AB26" s="22"/>
    </row>
    <row r="27" spans="1:29" ht="7.5" customHeight="1" x14ac:dyDescent="0.25">
      <c r="A27" s="1"/>
      <c r="B27" s="1"/>
      <c r="C27" s="1"/>
      <c r="D27" s="1"/>
      <c r="E27" s="1"/>
      <c r="F27" s="32"/>
      <c r="G27" s="1"/>
      <c r="H27" s="1"/>
      <c r="I27" s="1"/>
      <c r="J27" s="1"/>
      <c r="K27" s="1"/>
      <c r="L27" s="1"/>
      <c r="M27" s="1"/>
      <c r="N27" s="1"/>
      <c r="O27" s="1"/>
      <c r="P27" s="23"/>
      <c r="Q27" s="1"/>
      <c r="R27" s="1"/>
      <c r="S27" s="1"/>
      <c r="T27" s="1"/>
      <c r="V27" s="1"/>
      <c r="W27" s="1"/>
      <c r="Y27" s="1"/>
      <c r="Z27" s="146"/>
      <c r="AA27" s="135"/>
      <c r="AB27" s="135"/>
    </row>
    <row r="28" spans="1:29" ht="14.25" customHeight="1" x14ac:dyDescent="0.3">
      <c r="A28" s="31" t="s">
        <v>25</v>
      </c>
      <c r="B28" s="32"/>
      <c r="C28" s="32"/>
      <c r="D28" s="32"/>
      <c r="E28" s="32"/>
      <c r="F28" s="16"/>
      <c r="G28" s="32"/>
      <c r="H28" s="32"/>
      <c r="I28" s="32"/>
      <c r="J28" s="32"/>
      <c r="K28" s="32"/>
      <c r="L28" s="32"/>
      <c r="M28" s="32"/>
      <c r="N28" s="32"/>
      <c r="O28" s="32"/>
      <c r="P28" s="157"/>
      <c r="Q28" s="32"/>
      <c r="R28" s="32"/>
      <c r="S28" s="32"/>
      <c r="T28" s="32"/>
      <c r="V28" s="32"/>
      <c r="W28" s="32"/>
      <c r="Y28" s="32"/>
      <c r="Z28" s="143"/>
      <c r="AA28" s="135"/>
      <c r="AB28" s="135"/>
      <c r="AC28" s="46"/>
    </row>
    <row r="29" spans="1:29" x14ac:dyDescent="0.25">
      <c r="A29" s="3" t="s">
        <v>22</v>
      </c>
      <c r="B29" s="4">
        <v>2241.59</v>
      </c>
      <c r="C29" s="16">
        <v>2527</v>
      </c>
      <c r="D29" s="16">
        <v>2968</v>
      </c>
      <c r="E29" s="16">
        <v>657.42</v>
      </c>
      <c r="F29" s="16">
        <v>1485.63</v>
      </c>
      <c r="G29" s="16">
        <v>805.52</v>
      </c>
      <c r="H29" s="16">
        <v>462</v>
      </c>
      <c r="I29" s="16">
        <f>778.27</f>
        <v>778.27</v>
      </c>
      <c r="J29" s="16">
        <v>1205.73</v>
      </c>
      <c r="K29" s="53">
        <v>1896.43</v>
      </c>
      <c r="L29" s="81">
        <v>465.02</v>
      </c>
      <c r="M29" s="81">
        <v>415.6</v>
      </c>
      <c r="N29" s="79">
        <v>1343.23</v>
      </c>
      <c r="O29" s="79">
        <v>525.27</v>
      </c>
      <c r="P29" s="158">
        <v>475.25</v>
      </c>
      <c r="Q29" s="76">
        <v>70</v>
      </c>
      <c r="R29" s="79">
        <v>0</v>
      </c>
      <c r="S29" s="76">
        <f t="shared" ref="S29:S32" si="11">W29+X29</f>
        <v>60.29</v>
      </c>
      <c r="T29" s="76">
        <v>3329.61</v>
      </c>
      <c r="V29" s="79">
        <v>110</v>
      </c>
      <c r="W29" s="76">
        <v>60.29</v>
      </c>
      <c r="X29" s="75"/>
      <c r="Y29" s="79">
        <v>100</v>
      </c>
      <c r="Z29" s="144" t="s">
        <v>84</v>
      </c>
      <c r="AA29" s="135"/>
      <c r="AB29" s="136"/>
      <c r="AC29" s="3"/>
    </row>
    <row r="30" spans="1:29" hidden="1" x14ac:dyDescent="0.25">
      <c r="A30" s="3" t="s">
        <v>58</v>
      </c>
      <c r="B30" s="16"/>
      <c r="C30" s="16"/>
      <c r="D30" s="16"/>
      <c r="E30" s="16"/>
      <c r="F30" s="16"/>
      <c r="G30" s="16"/>
      <c r="H30" s="16"/>
      <c r="I30" s="16">
        <v>193</v>
      </c>
      <c r="J30" s="16">
        <v>194.41</v>
      </c>
      <c r="K30" s="53">
        <v>194.41</v>
      </c>
      <c r="L30" s="81">
        <v>194.41</v>
      </c>
      <c r="M30" s="81">
        <v>194.41</v>
      </c>
      <c r="N30" s="76">
        <v>83</v>
      </c>
      <c r="O30" s="76"/>
      <c r="P30" s="150"/>
      <c r="Q30" s="76">
        <v>0</v>
      </c>
      <c r="R30" s="76"/>
      <c r="S30" s="76">
        <f t="shared" si="11"/>
        <v>0</v>
      </c>
      <c r="T30" s="76">
        <f t="shared" ref="T30:T42" si="12">X30+Y30</f>
        <v>0</v>
      </c>
      <c r="V30" s="76"/>
      <c r="W30" s="76"/>
      <c r="X30" s="75"/>
      <c r="Y30" s="76"/>
      <c r="Z30" s="143"/>
      <c r="AA30" s="135"/>
      <c r="AB30" s="136"/>
      <c r="AC30" s="3"/>
    </row>
    <row r="31" spans="1:29" ht="13.8" thickBot="1" x14ac:dyDescent="0.3">
      <c r="A31" s="1" t="s">
        <v>41</v>
      </c>
      <c r="B31" s="30">
        <f>5361.46-3820</f>
        <v>1541.46</v>
      </c>
      <c r="C31" s="16">
        <v>1424.68</v>
      </c>
      <c r="D31" s="16">
        <v>1322.59</v>
      </c>
      <c r="E31" s="16">
        <v>1213.2</v>
      </c>
      <c r="F31" s="16">
        <v>3598.67</v>
      </c>
      <c r="G31" s="16">
        <v>1842.64</v>
      </c>
      <c r="H31" s="16">
        <v>1037</v>
      </c>
      <c r="I31" s="16">
        <v>3210</v>
      </c>
      <c r="J31" s="16">
        <v>1435</v>
      </c>
      <c r="K31" s="53">
        <v>3350.25</v>
      </c>
      <c r="L31" s="81">
        <v>4303.8999999999996</v>
      </c>
      <c r="M31" s="81">
        <v>2370</v>
      </c>
      <c r="N31" s="79">
        <v>1786.9</v>
      </c>
      <c r="O31" s="79">
        <v>2309.9</v>
      </c>
      <c r="P31" s="158">
        <v>2056.5</v>
      </c>
      <c r="Q31" s="76">
        <v>2300</v>
      </c>
      <c r="R31" s="79">
        <v>0</v>
      </c>
      <c r="S31" s="76">
        <f t="shared" si="11"/>
        <v>2640.91</v>
      </c>
      <c r="T31" s="76">
        <v>4629.8</v>
      </c>
      <c r="V31" s="79">
        <v>0</v>
      </c>
      <c r="W31" s="76">
        <v>2640.91</v>
      </c>
      <c r="X31" s="75"/>
      <c r="Y31" s="79">
        <v>4000</v>
      </c>
      <c r="Z31" s="144" t="s">
        <v>84</v>
      </c>
      <c r="AA31" s="136"/>
      <c r="AB31" s="136"/>
      <c r="AC31" s="3"/>
    </row>
    <row r="32" spans="1:29" ht="13.8" hidden="1" thickBot="1" x14ac:dyDescent="0.3">
      <c r="A32" s="2" t="s">
        <v>90</v>
      </c>
      <c r="B32" s="18">
        <v>3820</v>
      </c>
      <c r="C32" s="16"/>
      <c r="D32" s="16"/>
      <c r="E32" s="16"/>
      <c r="F32" s="16"/>
      <c r="G32" s="16"/>
      <c r="H32" s="16"/>
      <c r="I32" s="16"/>
      <c r="J32" s="16"/>
      <c r="K32" s="53"/>
      <c r="L32" s="81"/>
      <c r="M32" s="81"/>
      <c r="N32" s="79"/>
      <c r="O32" s="79"/>
      <c r="P32" s="158"/>
      <c r="Q32" s="76">
        <v>0</v>
      </c>
      <c r="R32" s="79"/>
      <c r="S32" s="76">
        <f t="shared" si="11"/>
        <v>0</v>
      </c>
      <c r="T32" s="76">
        <f t="shared" si="12"/>
        <v>0</v>
      </c>
      <c r="V32" s="79"/>
      <c r="W32" s="76"/>
      <c r="X32" s="75"/>
      <c r="Y32" s="79"/>
      <c r="Z32" s="143"/>
      <c r="AA32" s="136"/>
      <c r="AB32" s="136"/>
      <c r="AC32" s="3"/>
    </row>
    <row r="33" spans="1:29" x14ac:dyDescent="0.25">
      <c r="A33" s="3" t="s">
        <v>43</v>
      </c>
      <c r="B33" s="17">
        <v>903.89</v>
      </c>
      <c r="C33" s="4">
        <v>200.41</v>
      </c>
      <c r="D33" s="4">
        <v>584.39</v>
      </c>
      <c r="E33" s="4">
        <v>297.14</v>
      </c>
      <c r="F33" s="4">
        <v>311.29000000000002</v>
      </c>
      <c r="G33" s="4">
        <v>216</v>
      </c>
      <c r="H33" s="4">
        <v>640</v>
      </c>
      <c r="I33" s="4">
        <v>297.7</v>
      </c>
      <c r="J33" s="4">
        <v>553.04999999999995</v>
      </c>
      <c r="K33" s="54">
        <f>742.8-194.41</f>
        <v>548.39</v>
      </c>
      <c r="L33" s="82">
        <v>437.87</v>
      </c>
      <c r="M33" s="82">
        <v>328.65</v>
      </c>
      <c r="N33" s="76">
        <v>269.22000000000003</v>
      </c>
      <c r="O33" s="76">
        <v>241.88</v>
      </c>
      <c r="P33" s="150">
        <v>111.34</v>
      </c>
      <c r="Q33" s="76">
        <v>1561.97</v>
      </c>
      <c r="R33" s="76">
        <v>821.23</v>
      </c>
      <c r="S33" s="82">
        <v>1388.75</v>
      </c>
      <c r="T33" s="82">
        <v>1290.05</v>
      </c>
      <c r="V33" s="76">
        <v>1300</v>
      </c>
      <c r="W33" s="82">
        <v>1517.98</v>
      </c>
      <c r="X33" s="75"/>
      <c r="Y33" s="76">
        <v>1300</v>
      </c>
      <c r="Z33" s="144" t="s">
        <v>85</v>
      </c>
      <c r="AA33" s="136"/>
      <c r="AB33" s="136"/>
      <c r="AC33" s="3"/>
    </row>
    <row r="34" spans="1:29" hidden="1" x14ac:dyDescent="0.25">
      <c r="A34" s="3" t="s">
        <v>58</v>
      </c>
      <c r="B34" s="17"/>
      <c r="C34" s="4"/>
      <c r="D34" s="4"/>
      <c r="E34" s="4"/>
      <c r="F34" s="4"/>
      <c r="G34" s="4"/>
      <c r="H34" s="4">
        <v>194</v>
      </c>
      <c r="I34" s="4"/>
      <c r="J34" s="4"/>
      <c r="K34" s="54"/>
      <c r="L34" s="82"/>
      <c r="M34" s="82"/>
      <c r="N34" s="76"/>
      <c r="O34" s="76"/>
      <c r="P34" s="150"/>
      <c r="Q34" s="76">
        <v>0</v>
      </c>
      <c r="R34" s="76"/>
      <c r="S34" s="76">
        <f t="shared" ref="S34" si="13">W34+X34</f>
        <v>0</v>
      </c>
      <c r="T34" s="76">
        <f t="shared" si="12"/>
        <v>0</v>
      </c>
      <c r="V34" s="76"/>
      <c r="W34" s="76"/>
      <c r="X34" s="75"/>
      <c r="Y34" s="76"/>
      <c r="Z34" s="143"/>
      <c r="AA34" s="136"/>
      <c r="AB34" s="136"/>
      <c r="AC34" s="3"/>
    </row>
    <row r="35" spans="1:29" x14ac:dyDescent="0.25">
      <c r="A35" s="3" t="s">
        <v>0</v>
      </c>
      <c r="B35" s="4">
        <v>3906.18</v>
      </c>
      <c r="C35" s="4">
        <v>2806.05</v>
      </c>
      <c r="D35" s="4">
        <v>2886.91</v>
      </c>
      <c r="E35" s="4">
        <v>3135.44</v>
      </c>
      <c r="F35" s="4">
        <v>2774.84</v>
      </c>
      <c r="G35" s="4">
        <v>2651.23</v>
      </c>
      <c r="H35" s="4">
        <v>2903</v>
      </c>
      <c r="I35" s="4">
        <v>2373.06</v>
      </c>
      <c r="J35" s="4">
        <v>3031.52</v>
      </c>
      <c r="K35" s="54">
        <v>3402</v>
      </c>
      <c r="L35" s="82">
        <v>2202.37</v>
      </c>
      <c r="M35" s="82">
        <v>3400.6</v>
      </c>
      <c r="N35" s="76">
        <v>2680.16</v>
      </c>
      <c r="O35" s="76">
        <v>2339.6999999999998</v>
      </c>
      <c r="P35" s="150">
        <f>1799.89-90.68</f>
        <v>1709.21</v>
      </c>
      <c r="Q35" s="76">
        <v>2254.36</v>
      </c>
      <c r="R35" s="76">
        <v>1180.47</v>
      </c>
      <c r="S35" s="76">
        <v>3206.33</v>
      </c>
      <c r="T35" s="76">
        <v>3282.08</v>
      </c>
      <c r="V35" s="76">
        <v>3500</v>
      </c>
      <c r="W35" s="76">
        <v>3842</v>
      </c>
      <c r="X35" s="75"/>
      <c r="Y35" s="76">
        <v>3500</v>
      </c>
      <c r="Z35" s="144" t="s">
        <v>75</v>
      </c>
      <c r="AA35" s="136"/>
      <c r="AB35" s="136"/>
      <c r="AC35" s="3"/>
    </row>
    <row r="36" spans="1:29" x14ac:dyDescent="0.25">
      <c r="A36" s="3" t="s">
        <v>50</v>
      </c>
      <c r="B36" s="4">
        <v>528.69000000000005</v>
      </c>
      <c r="C36" s="4">
        <v>535.23</v>
      </c>
      <c r="D36" s="4">
        <v>471.54</v>
      </c>
      <c r="E36" s="4">
        <v>486.13</v>
      </c>
      <c r="F36" s="4">
        <v>427.29</v>
      </c>
      <c r="G36" s="4">
        <v>554.46</v>
      </c>
      <c r="H36" s="4">
        <v>634</v>
      </c>
      <c r="I36" s="4">
        <v>649.76</v>
      </c>
      <c r="J36" s="4">
        <v>620.04</v>
      </c>
      <c r="K36" s="54">
        <v>620.42999999999995</v>
      </c>
      <c r="L36" s="82">
        <v>623.32000000000005</v>
      </c>
      <c r="M36" s="82">
        <v>628.65</v>
      </c>
      <c r="N36" s="76">
        <v>629.37</v>
      </c>
      <c r="O36" s="76">
        <v>620.30999999999995</v>
      </c>
      <c r="P36" s="150">
        <v>624.83000000000004</v>
      </c>
      <c r="Q36" s="76">
        <v>3686.5699999999997</v>
      </c>
      <c r="R36" s="76">
        <v>671.37</v>
      </c>
      <c r="S36" s="76">
        <v>657.08</v>
      </c>
      <c r="T36" s="76">
        <v>743.6</v>
      </c>
      <c r="V36" s="76">
        <v>750</v>
      </c>
      <c r="W36" s="76">
        <v>877.8</v>
      </c>
      <c r="X36" s="75"/>
      <c r="Y36" s="76">
        <v>800</v>
      </c>
      <c r="Z36" s="144" t="s">
        <v>86</v>
      </c>
      <c r="AA36" s="136"/>
      <c r="AB36" s="136"/>
      <c r="AC36" s="3"/>
    </row>
    <row r="37" spans="1:29" x14ac:dyDescent="0.25">
      <c r="A37" s="3" t="s">
        <v>178</v>
      </c>
      <c r="B37" s="4"/>
      <c r="C37" s="4"/>
      <c r="D37" s="4"/>
      <c r="E37" s="4"/>
      <c r="F37" s="4"/>
      <c r="G37" s="4"/>
      <c r="H37" s="4"/>
      <c r="I37" s="4"/>
      <c r="J37" s="4"/>
      <c r="K37" s="54"/>
      <c r="L37" s="82"/>
      <c r="M37" s="82"/>
      <c r="N37" s="76"/>
      <c r="O37" s="76"/>
      <c r="P37" s="150"/>
      <c r="Q37" s="76">
        <v>3000</v>
      </c>
      <c r="R37" s="76"/>
      <c r="S37" s="76"/>
      <c r="T37" s="76"/>
      <c r="V37" s="76"/>
      <c r="W37" s="76"/>
      <c r="X37" s="75"/>
      <c r="Y37" s="76"/>
      <c r="Z37" s="144"/>
      <c r="AA37" s="136"/>
      <c r="AB37" s="173"/>
      <c r="AC37" s="3"/>
    </row>
    <row r="38" spans="1:29" hidden="1" x14ac:dyDescent="0.25">
      <c r="A38" s="3" t="s">
        <v>42</v>
      </c>
      <c r="B38" s="4">
        <v>233.17</v>
      </c>
      <c r="C38" s="4"/>
      <c r="D38" s="4"/>
      <c r="E38" s="4"/>
      <c r="F38" s="4"/>
      <c r="G38" s="4"/>
      <c r="H38" s="4"/>
      <c r="I38" s="4"/>
      <c r="J38" s="4"/>
      <c r="K38" s="54"/>
      <c r="L38" s="82"/>
      <c r="M38" s="82"/>
      <c r="N38" s="76"/>
      <c r="O38" s="76"/>
      <c r="P38" s="150"/>
      <c r="Q38" s="76">
        <v>0</v>
      </c>
      <c r="R38" s="76"/>
      <c r="S38" s="76">
        <f t="shared" ref="S38:S39" si="14">W38+X38</f>
        <v>0</v>
      </c>
      <c r="T38" s="76">
        <f t="shared" si="12"/>
        <v>0</v>
      </c>
      <c r="V38" s="76"/>
      <c r="W38" s="76"/>
      <c r="X38" s="75"/>
      <c r="Y38" s="76"/>
      <c r="Z38" s="143"/>
      <c r="AA38" s="136"/>
      <c r="AB38" s="136"/>
      <c r="AC38" s="3"/>
    </row>
    <row r="39" spans="1:29" hidden="1" x14ac:dyDescent="0.25">
      <c r="A39" s="3" t="s">
        <v>18</v>
      </c>
      <c r="B39" s="4"/>
      <c r="C39" s="4"/>
      <c r="D39" s="4"/>
      <c r="E39" s="4"/>
      <c r="F39" s="4"/>
      <c r="G39" s="4"/>
      <c r="H39" s="4"/>
      <c r="I39" s="4"/>
      <c r="J39" s="4"/>
      <c r="K39" s="54"/>
      <c r="L39" s="82"/>
      <c r="M39" s="82"/>
      <c r="N39" s="76"/>
      <c r="O39" s="76"/>
      <c r="P39" s="150"/>
      <c r="Q39" s="76">
        <v>0</v>
      </c>
      <c r="R39" s="76"/>
      <c r="S39" s="76">
        <f t="shared" si="14"/>
        <v>0</v>
      </c>
      <c r="T39" s="76">
        <f t="shared" si="12"/>
        <v>0</v>
      </c>
      <c r="V39" s="76"/>
      <c r="W39" s="76"/>
      <c r="X39" s="75"/>
      <c r="Y39" s="76"/>
      <c r="Z39" s="143"/>
      <c r="AA39" s="136"/>
      <c r="AB39" s="136"/>
      <c r="AC39" s="3"/>
    </row>
    <row r="40" spans="1:29" x14ac:dyDescent="0.25">
      <c r="A40" s="3" t="s">
        <v>6</v>
      </c>
      <c r="B40" s="4">
        <v>139.81</v>
      </c>
      <c r="C40" s="4">
        <v>266.7</v>
      </c>
      <c r="D40" s="4">
        <v>274.73</v>
      </c>
      <c r="E40" s="4">
        <v>282.62</v>
      </c>
      <c r="F40" s="4">
        <v>401.13</v>
      </c>
      <c r="G40" s="4">
        <v>372.32</v>
      </c>
      <c r="H40" s="4">
        <v>372</v>
      </c>
      <c r="I40" s="4">
        <v>379.55</v>
      </c>
      <c r="J40" s="4">
        <v>388.09</v>
      </c>
      <c r="K40" s="54">
        <v>396.75</v>
      </c>
      <c r="L40" s="82">
        <v>555.25</v>
      </c>
      <c r="M40" s="82">
        <v>413.98</v>
      </c>
      <c r="N40" s="76">
        <v>413.98</v>
      </c>
      <c r="O40" s="76">
        <v>413.98</v>
      </c>
      <c r="P40" s="150">
        <v>414.98</v>
      </c>
      <c r="Q40" s="76">
        <v>434.14</v>
      </c>
      <c r="R40" s="76">
        <v>302.99</v>
      </c>
      <c r="S40" s="76">
        <v>308</v>
      </c>
      <c r="T40" s="76">
        <v>330.57</v>
      </c>
      <c r="V40" s="76">
        <v>340</v>
      </c>
      <c r="W40" s="76">
        <v>345.17</v>
      </c>
      <c r="X40" s="75"/>
      <c r="Y40" s="76">
        <v>340</v>
      </c>
      <c r="Z40" s="144" t="s">
        <v>87</v>
      </c>
      <c r="AA40" s="136"/>
      <c r="AB40" s="173"/>
      <c r="AC40" s="3"/>
    </row>
    <row r="41" spans="1:29" x14ac:dyDescent="0.25">
      <c r="A41" s="3" t="s">
        <v>44</v>
      </c>
      <c r="B41" s="4">
        <v>1894.36</v>
      </c>
      <c r="C41" s="4">
        <v>1784.74</v>
      </c>
      <c r="D41" s="4">
        <v>1694.3</v>
      </c>
      <c r="E41" s="4">
        <v>1617.1</v>
      </c>
      <c r="F41" s="4">
        <v>1646.5</v>
      </c>
      <c r="G41" s="4">
        <v>4020.8</v>
      </c>
      <c r="H41" s="4">
        <f>2928+988</f>
        <v>3916</v>
      </c>
      <c r="I41" s="4">
        <v>4550.1000000000004</v>
      </c>
      <c r="J41" s="4">
        <v>4266.3999999999996</v>
      </c>
      <c r="K41" s="54">
        <v>4531.22</v>
      </c>
      <c r="L41" s="82">
        <f>3400+764.25</f>
        <v>4164.25</v>
      </c>
      <c r="M41" s="82">
        <f>3300+714.2</f>
        <v>4014.2</v>
      </c>
      <c r="N41" s="76">
        <v>3731.1</v>
      </c>
      <c r="O41" s="76">
        <f>2820+810</f>
        <v>3630</v>
      </c>
      <c r="P41" s="150">
        <f>2686+901.28</f>
        <v>3587.2799999999997</v>
      </c>
      <c r="Q41" s="76">
        <v>3409</v>
      </c>
      <c r="R41" s="76">
        <v>3066.24</v>
      </c>
      <c r="S41" s="76">
        <v>3149</v>
      </c>
      <c r="T41" s="76">
        <v>3001</v>
      </c>
      <c r="V41" s="76">
        <v>3500</v>
      </c>
      <c r="W41" s="76">
        <v>4678.6499999999996</v>
      </c>
      <c r="X41" s="75"/>
      <c r="Y41" s="76">
        <v>4000</v>
      </c>
      <c r="Z41" s="144" t="s">
        <v>88</v>
      </c>
      <c r="AA41" s="136"/>
      <c r="AB41" s="136"/>
      <c r="AC41" s="3"/>
    </row>
    <row r="42" spans="1:29" hidden="1" x14ac:dyDescent="0.25">
      <c r="A42" s="3" t="s">
        <v>164</v>
      </c>
      <c r="B42" s="4"/>
      <c r="C42" s="4"/>
      <c r="D42" s="4"/>
      <c r="E42" s="4"/>
      <c r="F42" s="4"/>
      <c r="G42" s="4"/>
      <c r="H42" s="4"/>
      <c r="I42" s="4"/>
      <c r="J42" s="4"/>
      <c r="K42" s="54"/>
      <c r="L42" s="82"/>
      <c r="M42" s="82">
        <v>249</v>
      </c>
      <c r="N42" s="76">
        <v>50</v>
      </c>
      <c r="O42" s="76">
        <v>311</v>
      </c>
      <c r="P42" s="150">
        <v>349</v>
      </c>
      <c r="Q42" s="76">
        <v>0</v>
      </c>
      <c r="R42" s="76"/>
      <c r="S42" s="76">
        <f t="shared" ref="S42" si="15">W42+X42</f>
        <v>0</v>
      </c>
      <c r="T42" s="76">
        <f t="shared" si="12"/>
        <v>0</v>
      </c>
      <c r="V42" s="76"/>
      <c r="W42" s="76"/>
      <c r="X42" s="75"/>
      <c r="Y42" s="76"/>
      <c r="Z42" s="144" t="s">
        <v>163</v>
      </c>
      <c r="AA42" s="136"/>
      <c r="AB42" s="136"/>
      <c r="AC42" s="3"/>
    </row>
    <row r="43" spans="1:29" x14ac:dyDescent="0.25">
      <c r="A43" s="3" t="s">
        <v>7</v>
      </c>
      <c r="B43" s="4">
        <v>694.22</v>
      </c>
      <c r="C43" s="4">
        <v>634.21</v>
      </c>
      <c r="D43" s="4">
        <v>319.70999999999998</v>
      </c>
      <c r="E43" s="4">
        <v>1891.33</v>
      </c>
      <c r="F43" s="4">
        <v>1057.18</v>
      </c>
      <c r="G43" s="4">
        <v>489</v>
      </c>
      <c r="H43" s="4">
        <v>173</v>
      </c>
      <c r="I43" s="4">
        <v>324</v>
      </c>
      <c r="J43" s="4">
        <v>150</v>
      </c>
      <c r="K43" s="54">
        <v>288</v>
      </c>
      <c r="L43" s="82">
        <v>410</v>
      </c>
      <c r="M43" s="82">
        <v>0</v>
      </c>
      <c r="N43" s="76">
        <v>342.3</v>
      </c>
      <c r="O43" s="76">
        <v>0</v>
      </c>
      <c r="P43" s="150">
        <v>0</v>
      </c>
      <c r="Q43" s="76">
        <v>184.7</v>
      </c>
      <c r="R43" s="76">
        <v>0</v>
      </c>
      <c r="S43" s="76">
        <v>813.24</v>
      </c>
      <c r="T43" s="76">
        <v>697.07</v>
      </c>
      <c r="V43" s="76">
        <v>700</v>
      </c>
      <c r="W43" s="76">
        <v>142.56</v>
      </c>
      <c r="X43" s="75"/>
      <c r="Y43" s="76">
        <v>200</v>
      </c>
      <c r="Z43" s="144" t="s">
        <v>89</v>
      </c>
      <c r="AA43" s="136"/>
      <c r="AB43" s="136"/>
      <c r="AC43" s="3"/>
    </row>
    <row r="44" spans="1:29" x14ac:dyDescent="0.25">
      <c r="A44" s="3" t="s">
        <v>23</v>
      </c>
      <c r="B44" s="4">
        <v>2089.46</v>
      </c>
      <c r="C44" s="4">
        <v>2465.29</v>
      </c>
      <c r="D44" s="4">
        <v>2466.6</v>
      </c>
      <c r="E44" s="4">
        <v>3151.8</v>
      </c>
      <c r="F44" s="4">
        <f>4561.33-420</f>
        <v>4141.33</v>
      </c>
      <c r="G44" s="4">
        <v>4684</v>
      </c>
      <c r="H44" s="4">
        <f>1293+2372</f>
        <v>3665</v>
      </c>
      <c r="I44" s="4">
        <v>2807.52</v>
      </c>
      <c r="J44" s="4">
        <v>3453.76</v>
      </c>
      <c r="K44" s="54">
        <v>3298.76</v>
      </c>
      <c r="L44" s="82">
        <f>486.62+3056</f>
        <v>3542.62</v>
      </c>
      <c r="M44" s="82">
        <f>1702.9+3047</f>
        <v>4749.8999999999996</v>
      </c>
      <c r="N44" s="76">
        <v>4826.9399999999996</v>
      </c>
      <c r="O44" s="76">
        <v>3056.12</v>
      </c>
      <c r="P44" s="150">
        <f>3675.04-74</f>
        <v>3601.04</v>
      </c>
      <c r="Q44" s="76">
        <v>4118.6899999999996</v>
      </c>
      <c r="R44" s="76">
        <v>45.8</v>
      </c>
      <c r="S44" s="76">
        <v>4579.1000000000004</v>
      </c>
      <c r="T44" s="76">
        <v>4328.8</v>
      </c>
      <c r="V44" s="76">
        <v>4500</v>
      </c>
      <c r="W44" s="76">
        <v>3449.18</v>
      </c>
      <c r="X44" s="75"/>
      <c r="Y44" s="76">
        <v>3500</v>
      </c>
      <c r="Z44" s="144" t="s">
        <v>76</v>
      </c>
      <c r="AA44" s="136"/>
      <c r="AB44" s="136"/>
      <c r="AC44" s="3"/>
    </row>
    <row r="45" spans="1:29" x14ac:dyDescent="0.25">
      <c r="A45" s="3" t="s">
        <v>3</v>
      </c>
      <c r="B45" s="4">
        <v>5721.16</v>
      </c>
      <c r="C45" s="4">
        <v>5694.18</v>
      </c>
      <c r="D45" s="4">
        <v>5746.55</v>
      </c>
      <c r="E45" s="4">
        <v>5689.52</v>
      </c>
      <c r="F45" s="4">
        <f>5807.26+420</f>
        <v>6227.26</v>
      </c>
      <c r="G45" s="4">
        <v>5495.79</v>
      </c>
      <c r="H45" s="4">
        <v>5335</v>
      </c>
      <c r="I45" s="4">
        <v>6030</v>
      </c>
      <c r="J45" s="4">
        <v>5212.8599999999997</v>
      </c>
      <c r="K45" s="54">
        <v>4269</v>
      </c>
      <c r="L45" s="82">
        <v>4459.62</v>
      </c>
      <c r="M45" s="82">
        <v>3814.44</v>
      </c>
      <c r="N45" s="84">
        <v>6509.74</v>
      </c>
      <c r="O45" s="84">
        <v>4302.78</v>
      </c>
      <c r="P45" s="159">
        <f>4229.75-330</f>
        <v>3899.75</v>
      </c>
      <c r="Q45" s="76">
        <v>5766.9199999999992</v>
      </c>
      <c r="R45" s="84">
        <v>0</v>
      </c>
      <c r="S45" s="76">
        <v>2691.38</v>
      </c>
      <c r="T45" s="76">
        <v>2547.37</v>
      </c>
      <c r="U45" s="85"/>
      <c r="V45" s="84">
        <v>3000</v>
      </c>
      <c r="W45" s="76">
        <v>7459</v>
      </c>
      <c r="X45" s="86"/>
      <c r="Y45" s="84">
        <v>3000</v>
      </c>
      <c r="Z45" s="144" t="s">
        <v>77</v>
      </c>
      <c r="AA45" s="136"/>
      <c r="AB45" s="136"/>
      <c r="AC45" s="3"/>
    </row>
    <row r="46" spans="1:29" x14ac:dyDescent="0.25">
      <c r="A46" s="3" t="s">
        <v>66</v>
      </c>
      <c r="B46" s="4"/>
      <c r="C46" s="4"/>
      <c r="D46" s="4"/>
      <c r="E46" s="4"/>
      <c r="F46" s="4"/>
      <c r="G46" s="4"/>
      <c r="H46" s="4"/>
      <c r="I46" s="4"/>
      <c r="J46" s="4"/>
      <c r="K46" s="54">
        <v>486.94</v>
      </c>
      <c r="L46" s="82">
        <v>783.3</v>
      </c>
      <c r="M46" s="82">
        <v>2884.98</v>
      </c>
      <c r="N46" s="76">
        <v>14590.71</v>
      </c>
      <c r="O46" s="76">
        <v>14583.85</v>
      </c>
      <c r="P46" s="150">
        <v>14177.64</v>
      </c>
      <c r="Q46" s="82">
        <v>16317.93</v>
      </c>
      <c r="R46" s="76">
        <v>11095.05</v>
      </c>
      <c r="S46" s="82">
        <f>S13</f>
        <v>10538.01</v>
      </c>
      <c r="T46" s="82">
        <f>T13</f>
        <v>14257.5</v>
      </c>
      <c r="V46" s="76">
        <v>15000</v>
      </c>
      <c r="W46" s="82">
        <v>12715</v>
      </c>
      <c r="X46" s="75"/>
      <c r="Y46" s="76">
        <v>13000</v>
      </c>
      <c r="Z46" s="144" t="s">
        <v>78</v>
      </c>
      <c r="AA46" s="136"/>
      <c r="AB46" s="136"/>
      <c r="AC46" s="10"/>
    </row>
    <row r="47" spans="1:29" x14ac:dyDescent="0.25">
      <c r="A47" s="3" t="s">
        <v>175</v>
      </c>
      <c r="B47" s="16">
        <v>30</v>
      </c>
      <c r="C47" s="16">
        <v>30</v>
      </c>
      <c r="D47" s="16">
        <v>30</v>
      </c>
      <c r="E47" s="16">
        <v>32</v>
      </c>
      <c r="F47" s="16">
        <v>32.6</v>
      </c>
      <c r="G47" s="16">
        <v>32.6</v>
      </c>
      <c r="H47" s="16">
        <v>33</v>
      </c>
      <c r="I47" s="16">
        <v>26</v>
      </c>
      <c r="J47" s="16">
        <v>35.56</v>
      </c>
      <c r="K47" s="53">
        <v>36.01</v>
      </c>
      <c r="L47" s="90">
        <v>35.950000000000003</v>
      </c>
      <c r="M47" s="82">
        <v>58.21</v>
      </c>
      <c r="N47" s="79">
        <v>37.72</v>
      </c>
      <c r="O47" s="79"/>
      <c r="P47" s="158"/>
      <c r="Q47" s="76">
        <v>59.570000000000014</v>
      </c>
      <c r="R47" s="79">
        <v>46.75</v>
      </c>
      <c r="S47" s="76">
        <v>124.78</v>
      </c>
      <c r="T47" s="76">
        <v>131.66999999999999</v>
      </c>
      <c r="V47" s="79">
        <v>150</v>
      </c>
      <c r="W47" s="76">
        <v>65.290000000000006</v>
      </c>
      <c r="X47" s="75"/>
      <c r="Y47" s="79">
        <v>70</v>
      </c>
      <c r="Z47" s="144" t="s">
        <v>165</v>
      </c>
      <c r="AA47" s="135"/>
      <c r="AB47" s="136"/>
      <c r="AC47" s="3"/>
    </row>
    <row r="48" spans="1:29" hidden="1" x14ac:dyDescent="0.25">
      <c r="A48" s="1" t="s">
        <v>72</v>
      </c>
      <c r="B48" s="87"/>
      <c r="C48" s="87"/>
      <c r="D48" s="87"/>
      <c r="E48" s="87"/>
      <c r="F48" s="87"/>
      <c r="G48" s="87"/>
      <c r="H48" s="87"/>
      <c r="I48" s="87"/>
      <c r="J48" s="87"/>
      <c r="K48" s="88"/>
      <c r="L48" s="89"/>
      <c r="M48" s="82"/>
      <c r="N48" s="74"/>
      <c r="O48" s="101">
        <v>70</v>
      </c>
      <c r="P48" s="152">
        <v>280</v>
      </c>
      <c r="Q48" s="76">
        <v>0</v>
      </c>
      <c r="R48" s="73"/>
      <c r="S48" s="76">
        <f t="shared" ref="S48:S51" si="16">W48+X48</f>
        <v>0</v>
      </c>
      <c r="T48" s="76">
        <f t="shared" ref="T48:T51" si="17">X48+Y48</f>
        <v>0</v>
      </c>
      <c r="U48" s="103"/>
      <c r="V48" s="73"/>
      <c r="W48" s="76"/>
      <c r="X48" s="75"/>
      <c r="Y48" s="73"/>
      <c r="Z48" s="143"/>
      <c r="AA48" s="135"/>
      <c r="AB48" s="136"/>
      <c r="AC48" s="3"/>
    </row>
    <row r="49" spans="1:30" ht="13.8" hidden="1" thickBot="1" x14ac:dyDescent="0.3">
      <c r="A49" s="2" t="s">
        <v>29</v>
      </c>
      <c r="B49" s="18">
        <f>271.31-B50</f>
        <v>216.66</v>
      </c>
      <c r="C49" s="18">
        <f>1052.04-C50</f>
        <v>894.22</v>
      </c>
      <c r="D49" s="18">
        <f>1052.04-D50</f>
        <v>939.51</v>
      </c>
      <c r="E49" s="18">
        <v>987.09</v>
      </c>
      <c r="F49" s="18">
        <v>773.44</v>
      </c>
      <c r="G49" s="18"/>
      <c r="H49" s="18"/>
      <c r="I49" s="18"/>
      <c r="J49" s="18"/>
      <c r="K49" s="55"/>
      <c r="L49" s="91"/>
      <c r="M49" s="93"/>
      <c r="N49" s="94"/>
      <c r="O49" s="106"/>
      <c r="P49" s="160"/>
      <c r="Q49" s="76">
        <v>0</v>
      </c>
      <c r="R49" s="95"/>
      <c r="S49" s="76">
        <f t="shared" si="16"/>
        <v>0</v>
      </c>
      <c r="T49" s="76">
        <f t="shared" si="17"/>
        <v>0</v>
      </c>
      <c r="V49" s="95"/>
      <c r="W49" s="76"/>
      <c r="X49" s="75"/>
      <c r="Y49" s="95"/>
      <c r="Z49" s="143"/>
      <c r="AA49" s="135"/>
      <c r="AB49" s="136"/>
      <c r="AC49" s="3"/>
    </row>
    <row r="50" spans="1:30" hidden="1" x14ac:dyDescent="0.25">
      <c r="A50" s="3" t="s">
        <v>49</v>
      </c>
      <c r="B50" s="17">
        <v>54.65</v>
      </c>
      <c r="C50" s="17">
        <v>157.82</v>
      </c>
      <c r="D50" s="17">
        <v>112.53</v>
      </c>
      <c r="E50" s="17">
        <v>64.95</v>
      </c>
      <c r="F50" s="17">
        <f>822.08-32.6-773.4</f>
        <v>16.080000000000041</v>
      </c>
      <c r="G50" s="32"/>
      <c r="H50" s="32"/>
      <c r="I50" s="32"/>
      <c r="J50" s="32"/>
      <c r="K50" s="56"/>
      <c r="L50" s="92"/>
      <c r="M50" s="83"/>
      <c r="N50" s="73"/>
      <c r="O50" s="73"/>
      <c r="P50" s="150"/>
      <c r="Q50" s="76">
        <v>0</v>
      </c>
      <c r="R50" s="76"/>
      <c r="S50" s="76">
        <f t="shared" si="16"/>
        <v>0</v>
      </c>
      <c r="T50" s="76">
        <f t="shared" si="17"/>
        <v>0</v>
      </c>
      <c r="V50" s="76"/>
      <c r="W50" s="76"/>
      <c r="X50" s="75"/>
      <c r="Y50" s="76"/>
      <c r="Z50" s="143"/>
      <c r="AA50" s="135"/>
      <c r="AB50" s="136"/>
      <c r="AC50" s="3"/>
    </row>
    <row r="51" spans="1:30" ht="13.8" hidden="1" thickBot="1" x14ac:dyDescent="0.3">
      <c r="A51" s="10" t="s">
        <v>55</v>
      </c>
      <c r="B51" s="38"/>
      <c r="C51" s="38"/>
      <c r="D51" s="38"/>
      <c r="E51" s="38"/>
      <c r="F51" s="4">
        <v>0</v>
      </c>
      <c r="G51" s="18"/>
      <c r="H51" s="18"/>
      <c r="I51" s="18"/>
      <c r="J51" s="18"/>
      <c r="K51" s="55"/>
      <c r="L51" s="91"/>
      <c r="M51" s="93"/>
      <c r="N51" s="73"/>
      <c r="O51" s="73"/>
      <c r="P51" s="150"/>
      <c r="Q51" s="76">
        <v>0</v>
      </c>
      <c r="R51" s="76"/>
      <c r="S51" s="76">
        <f t="shared" si="16"/>
        <v>0</v>
      </c>
      <c r="T51" s="76">
        <f t="shared" si="17"/>
        <v>0</v>
      </c>
      <c r="V51" s="76"/>
      <c r="W51" s="76"/>
      <c r="X51" s="75"/>
      <c r="Y51" s="76"/>
      <c r="Z51" s="143"/>
      <c r="AA51" s="135"/>
      <c r="AB51" s="136"/>
      <c r="AC51" s="3"/>
    </row>
    <row r="52" spans="1:30" x14ac:dyDescent="0.25">
      <c r="A52" s="3" t="s">
        <v>21</v>
      </c>
      <c r="B52" s="4">
        <v>300</v>
      </c>
      <c r="C52" s="4">
        <v>490.33</v>
      </c>
      <c r="D52" s="4"/>
      <c r="E52" s="4">
        <v>848.05</v>
      </c>
      <c r="F52" s="4">
        <v>306.62</v>
      </c>
      <c r="G52" s="17">
        <v>57.22</v>
      </c>
      <c r="H52" s="17">
        <v>239</v>
      </c>
      <c r="I52" s="17">
        <v>0</v>
      </c>
      <c r="J52" s="17">
        <v>60.09</v>
      </c>
      <c r="K52" s="57">
        <v>38.93</v>
      </c>
      <c r="L52" s="92"/>
      <c r="M52" s="83">
        <v>14.5</v>
      </c>
      <c r="N52" s="76">
        <v>113.89</v>
      </c>
      <c r="O52" s="76">
        <v>0</v>
      </c>
      <c r="P52" s="150">
        <v>0</v>
      </c>
      <c r="Q52" s="76">
        <v>72</v>
      </c>
      <c r="R52" s="76">
        <v>689.31</v>
      </c>
      <c r="S52" s="76">
        <v>1263.4000000000001</v>
      </c>
      <c r="T52" s="76">
        <v>1910.06</v>
      </c>
      <c r="V52" s="76"/>
      <c r="W52" s="76">
        <v>339.9</v>
      </c>
      <c r="X52" s="75"/>
      <c r="Y52" s="76"/>
      <c r="Z52" s="144" t="s">
        <v>81</v>
      </c>
      <c r="AA52" s="135"/>
      <c r="AB52" s="136"/>
      <c r="AC52" s="3"/>
      <c r="AD52" t="s">
        <v>184</v>
      </c>
    </row>
    <row r="53" spans="1:30" x14ac:dyDescent="0.25">
      <c r="A53" s="3" t="s">
        <v>8</v>
      </c>
      <c r="B53" s="4">
        <v>146.21</v>
      </c>
      <c r="C53" s="4">
        <v>202.4</v>
      </c>
      <c r="D53" s="4">
        <v>125</v>
      </c>
      <c r="E53" s="4">
        <v>237.35</v>
      </c>
      <c r="F53" s="4">
        <v>629.96</v>
      </c>
      <c r="G53" s="4">
        <v>245.8</v>
      </c>
      <c r="H53" s="4">
        <f>19810-19518</f>
        <v>292</v>
      </c>
      <c r="I53" s="4">
        <v>217</v>
      </c>
      <c r="J53" s="4">
        <v>297.88</v>
      </c>
      <c r="K53" s="58">
        <v>301.77999999999997</v>
      </c>
      <c r="L53" s="83">
        <v>300.42</v>
      </c>
      <c r="M53" s="83">
        <v>222.42</v>
      </c>
      <c r="N53" s="76">
        <v>233.82</v>
      </c>
      <c r="O53" s="76">
        <v>169.32</v>
      </c>
      <c r="P53" s="150">
        <v>109.8</v>
      </c>
      <c r="Q53" s="76">
        <v>63</v>
      </c>
      <c r="R53" s="76">
        <v>0</v>
      </c>
      <c r="S53" s="76">
        <v>118.8</v>
      </c>
      <c r="T53" s="76"/>
      <c r="V53" s="76">
        <v>200</v>
      </c>
      <c r="W53" s="76">
        <v>111.36</v>
      </c>
      <c r="X53" s="75"/>
      <c r="Y53" s="76">
        <v>50</v>
      </c>
      <c r="Z53" s="144" t="s">
        <v>86</v>
      </c>
      <c r="AA53" s="135"/>
      <c r="AB53" s="136"/>
      <c r="AC53" s="3"/>
    </row>
    <row r="54" spans="1:30" x14ac:dyDescent="0.25">
      <c r="A54" s="3" t="s">
        <v>4</v>
      </c>
      <c r="B54" s="4">
        <v>25.67</v>
      </c>
      <c r="C54" s="4">
        <v>6</v>
      </c>
      <c r="D54" s="4">
        <v>295.47000000000003</v>
      </c>
      <c r="E54" s="4">
        <v>46.32</v>
      </c>
      <c r="F54" s="4"/>
      <c r="G54" s="4">
        <v>25</v>
      </c>
      <c r="H54" s="4">
        <v>109</v>
      </c>
      <c r="I54" s="4">
        <v>409.68</v>
      </c>
      <c r="J54" s="4">
        <v>387.49</v>
      </c>
      <c r="K54" s="58">
        <v>0</v>
      </c>
      <c r="L54" s="83">
        <v>60.82</v>
      </c>
      <c r="M54" s="83">
        <v>244.01</v>
      </c>
      <c r="N54" s="76">
        <v>140.30000000000001</v>
      </c>
      <c r="O54" s="76">
        <v>30</v>
      </c>
      <c r="P54" s="150">
        <f>270.24-210</f>
        <v>60.240000000000009</v>
      </c>
      <c r="Q54" s="76">
        <v>51.9</v>
      </c>
      <c r="R54" s="76">
        <v>277.89999999999998</v>
      </c>
      <c r="S54" s="76">
        <v>318.83</v>
      </c>
      <c r="T54" s="76">
        <v>195</v>
      </c>
      <c r="V54" s="76">
        <v>300</v>
      </c>
      <c r="W54" s="76">
        <v>88</v>
      </c>
      <c r="X54" s="75"/>
      <c r="Y54" s="76">
        <v>150</v>
      </c>
      <c r="Z54" s="144" t="s">
        <v>82</v>
      </c>
      <c r="AA54" s="135"/>
      <c r="AB54" s="136"/>
      <c r="AC54" s="3"/>
    </row>
    <row r="55" spans="1:30" hidden="1" x14ac:dyDescent="0.25">
      <c r="A55" s="3" t="s">
        <v>48</v>
      </c>
      <c r="B55" s="4">
        <v>0.64</v>
      </c>
      <c r="C55" s="4"/>
      <c r="D55" s="4"/>
      <c r="E55" s="4"/>
      <c r="F55" s="5"/>
      <c r="G55" s="4"/>
      <c r="H55" s="4"/>
      <c r="I55" s="4">
        <v>1</v>
      </c>
      <c r="J55" s="4"/>
      <c r="K55" s="4"/>
      <c r="L55" s="4"/>
      <c r="M55" s="4"/>
      <c r="N55" s="4"/>
      <c r="O55" s="4"/>
      <c r="P55" s="154"/>
      <c r="Q55" s="4"/>
      <c r="R55" s="4"/>
      <c r="S55" s="4"/>
      <c r="T55" s="4"/>
      <c r="V55" s="4"/>
      <c r="W55" s="4"/>
      <c r="Y55" s="4"/>
      <c r="Z55" s="146"/>
      <c r="AA55" s="135"/>
      <c r="AB55" s="135"/>
      <c r="AC55" s="3"/>
    </row>
    <row r="56" spans="1:30" ht="15.6" hidden="1" x14ac:dyDescent="0.3">
      <c r="A56" s="1" t="s">
        <v>35</v>
      </c>
      <c r="B56" s="5">
        <v>0</v>
      </c>
      <c r="C56" s="5">
        <v>0</v>
      </c>
      <c r="D56" s="5"/>
      <c r="E56" s="5"/>
      <c r="F56" s="21">
        <f>SUM(F29:F54)</f>
        <v>23829.82</v>
      </c>
      <c r="G56" s="5"/>
      <c r="H56" s="5"/>
      <c r="I56" s="5"/>
      <c r="J56" s="5"/>
      <c r="K56" s="5"/>
      <c r="L56" s="5"/>
      <c r="M56" s="5"/>
      <c r="N56" s="5"/>
      <c r="O56" s="5"/>
      <c r="P56" s="155"/>
      <c r="Q56" s="5"/>
      <c r="R56" s="5"/>
      <c r="S56" s="5"/>
      <c r="T56" s="5"/>
      <c r="V56" s="5"/>
      <c r="W56" s="5"/>
      <c r="Y56" s="5"/>
      <c r="Z56" s="146"/>
      <c r="AA56" s="135"/>
      <c r="AB56" s="135"/>
      <c r="AC56" s="3"/>
    </row>
    <row r="57" spans="1:30" s="7" customFormat="1" ht="15.6" x14ac:dyDescent="0.3">
      <c r="A57" s="9" t="s">
        <v>17</v>
      </c>
      <c r="B57" s="21">
        <f t="shared" ref="B57:G57" si="18">SUM(B29:B55)</f>
        <v>24487.82</v>
      </c>
      <c r="C57" s="21">
        <f t="shared" si="18"/>
        <v>20119.260000000006</v>
      </c>
      <c r="D57" s="21">
        <f t="shared" si="18"/>
        <v>20237.829999999998</v>
      </c>
      <c r="E57" s="21">
        <f t="shared" si="18"/>
        <v>20637.46</v>
      </c>
      <c r="F57" s="21">
        <f t="shared" si="18"/>
        <v>23829.82</v>
      </c>
      <c r="G57" s="21">
        <f t="shared" si="18"/>
        <v>21492.379999999997</v>
      </c>
      <c r="H57" s="21">
        <f>SUM(H29:H55)-H34</f>
        <v>19810</v>
      </c>
      <c r="I57" s="21">
        <f>SUM(I29:I55)-I30</f>
        <v>22053.640000000003</v>
      </c>
      <c r="J57" s="21">
        <f>SUM(J29:J55)-J30</f>
        <v>21097.470000000005</v>
      </c>
      <c r="K57" s="21">
        <f>SUM(K29:K55)-K30</f>
        <v>23464.889999999996</v>
      </c>
      <c r="L57" s="21">
        <f>SUM(L29:L55)-L30</f>
        <v>22344.709999999995</v>
      </c>
      <c r="M57" s="21">
        <f>SUM(M29:M55)-M30</f>
        <v>23809.139999999992</v>
      </c>
      <c r="N57" s="21">
        <f>SUM(N29:N54)-N30</f>
        <v>37699.380000000005</v>
      </c>
      <c r="O57" s="21">
        <f>SUM(O29:O54)-O30</f>
        <v>32604.11</v>
      </c>
      <c r="P57" s="161">
        <f>SUM(P29:P54)-P30-P42</f>
        <v>31107.86</v>
      </c>
      <c r="Q57" s="21">
        <f>SUM(Q29:Q54)-Q30-Q42-Q37</f>
        <v>40350.75</v>
      </c>
      <c r="R57" s="21">
        <f>SUM(R29:R54)-R30-R42</f>
        <v>18197.110000000004</v>
      </c>
      <c r="S57" s="21">
        <f>SUM(S29:S54)-S30-S42-S37</f>
        <v>31857.900000000005</v>
      </c>
      <c r="T57" s="21">
        <f>SUM(T29:T54)-T30-T42-T37</f>
        <v>40674.179999999993</v>
      </c>
      <c r="V57" s="21">
        <f>SUM(V29:V54)-V30-V42</f>
        <v>33350</v>
      </c>
      <c r="W57" s="21">
        <f>SUM(W29:W54)-W30-W42</f>
        <v>38333.089999999997</v>
      </c>
      <c r="Y57" s="21">
        <f>SUM(Y29:Y54)-Y30-Y42</f>
        <v>34010</v>
      </c>
      <c r="Z57" s="147"/>
      <c r="AA57" s="21"/>
      <c r="AB57" s="21"/>
    </row>
    <row r="58" spans="1:30" x14ac:dyDescent="0.25">
      <c r="A58" s="1"/>
      <c r="B58" s="1"/>
      <c r="C58" s="1"/>
      <c r="D58" s="1"/>
      <c r="E58" s="1"/>
      <c r="F58" s="1"/>
      <c r="G58" s="1"/>
      <c r="H58" s="1"/>
      <c r="I58" s="1"/>
      <c r="J58" s="1"/>
      <c r="K58" s="1"/>
      <c r="L58" s="1"/>
      <c r="M58" s="1"/>
      <c r="N58" s="1"/>
      <c r="O58" s="1"/>
      <c r="P58" s="23"/>
      <c r="Q58" s="1"/>
      <c r="R58" s="1"/>
      <c r="S58" s="1"/>
      <c r="T58" s="1"/>
      <c r="V58" s="1"/>
      <c r="W58" s="1"/>
      <c r="Y58" s="1"/>
    </row>
    <row r="59" spans="1:30" ht="16.5" customHeight="1" thickBot="1" x14ac:dyDescent="0.35">
      <c r="A59" s="11" t="s">
        <v>9</v>
      </c>
      <c r="B59" s="1"/>
      <c r="C59" s="1"/>
      <c r="D59" s="1"/>
      <c r="E59" s="1"/>
      <c r="F59" s="40"/>
      <c r="G59" s="1"/>
      <c r="H59" s="1"/>
      <c r="I59" s="1"/>
      <c r="J59" s="1"/>
      <c r="K59" s="1"/>
      <c r="L59" s="1"/>
      <c r="M59" s="1"/>
      <c r="N59" s="1"/>
      <c r="O59" s="1"/>
      <c r="P59" s="23"/>
      <c r="Q59" s="1"/>
      <c r="R59" s="1"/>
      <c r="S59" s="1"/>
      <c r="T59" s="1"/>
      <c r="V59" s="1"/>
      <c r="W59" s="1"/>
      <c r="Y59" s="1"/>
      <c r="AA59" s="138"/>
      <c r="AB59" s="138"/>
    </row>
    <row r="60" spans="1:30" ht="16.8" thickTop="1" thickBot="1" x14ac:dyDescent="0.35">
      <c r="A60" s="12" t="s">
        <v>10</v>
      </c>
      <c r="B60" s="20"/>
      <c r="C60" s="19">
        <f>C26-C57</f>
        <v>1099.1299999999974</v>
      </c>
      <c r="D60" s="19">
        <f>D26-D57</f>
        <v>855.29000000000451</v>
      </c>
      <c r="E60" s="19">
        <f>E26-E57</f>
        <v>983.63000000000102</v>
      </c>
      <c r="F60" s="35"/>
      <c r="G60" s="19">
        <f>G26-G57</f>
        <v>599.89000000000306</v>
      </c>
      <c r="H60" s="19">
        <f>H26-H57</f>
        <v>1571</v>
      </c>
      <c r="J60" s="59">
        <f>J26-J57</f>
        <v>11.429999999996653</v>
      </c>
      <c r="K60" s="60"/>
      <c r="L60" s="60"/>
      <c r="M60" s="59">
        <f>M26-M57</f>
        <v>148.52000000000771</v>
      </c>
      <c r="N60" s="35"/>
      <c r="O60" s="41"/>
      <c r="P60" s="162">
        <f>P26-P57</f>
        <v>2461.9400000000023</v>
      </c>
      <c r="Q60" s="1"/>
      <c r="R60" s="59">
        <f>R26-R57</f>
        <v>2316.8899999999958</v>
      </c>
      <c r="S60" s="59">
        <f>S26-S57</f>
        <v>-1209.4500000000044</v>
      </c>
      <c r="T60" s="59"/>
      <c r="U60" s="61"/>
      <c r="V60" s="59">
        <f>V26-V57</f>
        <v>0</v>
      </c>
      <c r="W60" s="59">
        <f>W26-W57</f>
        <v>1713.8400000000038</v>
      </c>
      <c r="X60" s="61"/>
      <c r="Y60" s="59">
        <f>Y26-Y57</f>
        <v>0</v>
      </c>
      <c r="AB60" s="138"/>
    </row>
    <row r="61" spans="1:30" ht="21" customHeight="1" thickTop="1" thickBot="1" x14ac:dyDescent="0.35">
      <c r="A61" s="96" t="s">
        <v>11</v>
      </c>
      <c r="B61" s="34">
        <f>B26-B57</f>
        <v>-113</v>
      </c>
      <c r="C61" s="20"/>
      <c r="D61" s="27"/>
      <c r="E61" s="27"/>
      <c r="F61" s="39">
        <f>F26-F57</f>
        <v>-703.78000000000247</v>
      </c>
      <c r="G61" s="20"/>
      <c r="H61" s="20"/>
      <c r="I61" s="39">
        <f>I26-I57</f>
        <v>-1288.1000000000022</v>
      </c>
      <c r="J61" s="61"/>
      <c r="K61" s="62">
        <f>K26-K57</f>
        <v>-564.03999999999724</v>
      </c>
      <c r="L61" s="62">
        <f>L26-L57</f>
        <v>-2165.6099999999969</v>
      </c>
      <c r="M61" s="64"/>
      <c r="N61" s="105">
        <f>N26-N57</f>
        <v>-79.310000000004948</v>
      </c>
      <c r="O61" s="107">
        <f>O26-O57</f>
        <v>-420.41000000000349</v>
      </c>
      <c r="P61" s="163"/>
      <c r="Q61" s="172">
        <f>Q26-Q57</f>
        <v>-1871.0099999999948</v>
      </c>
      <c r="R61" s="1"/>
      <c r="S61" s="172"/>
      <c r="T61" s="172">
        <f>T26-T57</f>
        <v>-5963.4899999999907</v>
      </c>
      <c r="U61" s="61"/>
      <c r="V61" s="1"/>
      <c r="W61" s="172"/>
      <c r="X61" s="104"/>
      <c r="Y61" s="1"/>
    </row>
    <row r="62" spans="1:30" ht="7.5" customHeight="1" x14ac:dyDescent="0.25">
      <c r="A62" s="1"/>
      <c r="B62" s="20"/>
      <c r="C62" s="20"/>
      <c r="D62" s="20"/>
      <c r="E62" s="20"/>
      <c r="F62" s="20"/>
      <c r="G62" s="20"/>
      <c r="H62" s="20"/>
      <c r="I62" s="20"/>
      <c r="J62" s="20"/>
      <c r="K62" s="20"/>
      <c r="L62" s="20"/>
      <c r="M62" s="43"/>
      <c r="N62" s="20"/>
      <c r="O62" s="20"/>
      <c r="P62" s="164"/>
      <c r="Q62" s="20"/>
      <c r="R62" s="20"/>
      <c r="S62" s="20"/>
      <c r="T62" s="20"/>
      <c r="V62" s="20"/>
      <c r="W62" s="20"/>
      <c r="Y62" s="20"/>
    </row>
    <row r="63" spans="1:30" ht="16.2" thickBot="1" x14ac:dyDescent="0.35">
      <c r="A63" s="11" t="s">
        <v>12</v>
      </c>
      <c r="B63" s="20"/>
      <c r="C63" s="20"/>
      <c r="D63" s="20"/>
      <c r="E63" s="20"/>
      <c r="G63" s="20"/>
      <c r="H63" s="20"/>
      <c r="I63" s="20"/>
      <c r="J63" s="20"/>
      <c r="K63" s="20"/>
      <c r="L63" s="20"/>
      <c r="M63" s="43"/>
      <c r="N63" s="20"/>
      <c r="O63" s="20"/>
      <c r="P63" s="164"/>
      <c r="Q63" s="20"/>
      <c r="R63" s="20"/>
      <c r="S63" s="20"/>
      <c r="T63" s="20"/>
      <c r="V63" s="20"/>
      <c r="W63" s="20"/>
      <c r="Y63" s="20"/>
    </row>
    <row r="64" spans="1:30" ht="16.2" thickBot="1" x14ac:dyDescent="0.35">
      <c r="A64" s="2" t="s">
        <v>13</v>
      </c>
      <c r="B64" s="20">
        <v>1321</v>
      </c>
      <c r="C64" s="20">
        <f t="shared" ref="C64:P64" si="19">B66</f>
        <v>1208</v>
      </c>
      <c r="D64" s="20">
        <f t="shared" si="19"/>
        <v>2307.1299999999974</v>
      </c>
      <c r="E64" s="20">
        <f t="shared" si="19"/>
        <v>3162.4200000000019</v>
      </c>
      <c r="F64" s="20">
        <f t="shared" si="19"/>
        <v>4146.0500000000029</v>
      </c>
      <c r="G64" s="20">
        <f t="shared" si="19"/>
        <v>3442.2700000000004</v>
      </c>
      <c r="H64" s="20">
        <f t="shared" si="19"/>
        <v>4042.1600000000035</v>
      </c>
      <c r="I64" s="20">
        <f t="shared" si="19"/>
        <v>5669.7600000000039</v>
      </c>
      <c r="J64" s="20">
        <f t="shared" si="19"/>
        <v>4381.6600000000017</v>
      </c>
      <c r="K64" s="20">
        <f t="shared" si="19"/>
        <v>4393.0899999999983</v>
      </c>
      <c r="L64" s="20">
        <f t="shared" si="19"/>
        <v>3829.0500000000011</v>
      </c>
      <c r="M64" s="20">
        <f t="shared" si="19"/>
        <v>1663.4400000000041</v>
      </c>
      <c r="N64" s="20">
        <f t="shared" si="19"/>
        <v>1811.9600000000119</v>
      </c>
      <c r="O64" s="20">
        <f t="shared" si="19"/>
        <v>1732.6500000000069</v>
      </c>
      <c r="P64" s="164">
        <f t="shared" si="19"/>
        <v>1312.2400000000034</v>
      </c>
      <c r="Q64" s="20">
        <f>P66</f>
        <v>3774.1800000000057</v>
      </c>
      <c r="R64" s="20">
        <v>6164</v>
      </c>
      <c r="S64" s="20">
        <f>R66</f>
        <v>8480.8899999999958</v>
      </c>
      <c r="T64" s="20">
        <f>S66</f>
        <v>9442</v>
      </c>
      <c r="V64" s="20">
        <f>T66</f>
        <v>3478.5100000000093</v>
      </c>
      <c r="W64" s="67">
        <f>607.51+3227.38</f>
        <v>3834.8900000000003</v>
      </c>
      <c r="X64" s="43"/>
      <c r="Y64" s="20">
        <v>3835</v>
      </c>
      <c r="AA64" s="134"/>
    </row>
    <row r="65" spans="1:27" ht="13.8" thickBot="1" x14ac:dyDescent="0.3">
      <c r="A65" s="44" t="s">
        <v>67</v>
      </c>
      <c r="B65" s="43"/>
      <c r="C65" s="43"/>
      <c r="D65" s="45"/>
      <c r="E65" s="45"/>
      <c r="F65" s="45"/>
      <c r="G65" s="45"/>
      <c r="H65" s="45">
        <f>56+0.6</f>
        <v>56.6</v>
      </c>
      <c r="I65" s="45"/>
      <c r="J65" s="52">
        <v>5</v>
      </c>
      <c r="K65" s="45"/>
      <c r="L65" s="45"/>
      <c r="M65" s="45"/>
      <c r="N65" s="45"/>
      <c r="O65" s="66"/>
      <c r="P65" s="165"/>
      <c r="Q65" s="66">
        <v>30</v>
      </c>
      <c r="R65" s="66"/>
      <c r="S65" s="66"/>
      <c r="T65" s="66"/>
      <c r="V65" s="66"/>
      <c r="W65" s="66"/>
      <c r="X65" s="43"/>
      <c r="Y65" s="66"/>
    </row>
    <row r="66" spans="1:27" s="7" customFormat="1" ht="16.2" thickBot="1" x14ac:dyDescent="0.35">
      <c r="A66" s="8" t="s">
        <v>14</v>
      </c>
      <c r="B66" s="19">
        <f>B64+B61</f>
        <v>1208</v>
      </c>
      <c r="C66" s="19">
        <f>C64+C60</f>
        <v>2307.1299999999974</v>
      </c>
      <c r="D66" s="19">
        <f>D64+D60</f>
        <v>3162.4200000000019</v>
      </c>
      <c r="E66" s="19">
        <f>E64+E60</f>
        <v>4146.0500000000029</v>
      </c>
      <c r="F66" s="19">
        <f>F64+F61</f>
        <v>3442.2700000000004</v>
      </c>
      <c r="G66" s="19">
        <f>G64+G60</f>
        <v>4042.1600000000035</v>
      </c>
      <c r="H66" s="19">
        <f>H64+H60+H65</f>
        <v>5669.7600000000039</v>
      </c>
      <c r="I66" s="19">
        <f>I64+I61</f>
        <v>4381.6600000000017</v>
      </c>
      <c r="J66" s="19">
        <f>J64+J60</f>
        <v>4393.0899999999983</v>
      </c>
      <c r="K66" s="19">
        <f>SUM(K59:K65)</f>
        <v>3829.0500000000011</v>
      </c>
      <c r="L66" s="19">
        <f>SUM(L59:L65)</f>
        <v>1663.4400000000041</v>
      </c>
      <c r="M66" s="19">
        <f>SUM(M59:M65)</f>
        <v>1811.9600000000119</v>
      </c>
      <c r="N66" s="19">
        <f>N64+N61</f>
        <v>1732.6500000000069</v>
      </c>
      <c r="O66" s="67">
        <f>O64+O61</f>
        <v>1312.2400000000034</v>
      </c>
      <c r="P66" s="166">
        <f>P64+P60</f>
        <v>3774.1800000000057</v>
      </c>
      <c r="Q66" s="169">
        <f>Q65+Q64+Q61</f>
        <v>1933.170000000011</v>
      </c>
      <c r="R66" s="67">
        <f>R64+R60</f>
        <v>8480.8899999999958</v>
      </c>
      <c r="S66" s="67">
        <v>9442</v>
      </c>
      <c r="T66" s="169">
        <f>T65+T64+T61</f>
        <v>3478.5100000000093</v>
      </c>
      <c r="V66" s="67">
        <f>V64+V60</f>
        <v>3478.5100000000093</v>
      </c>
      <c r="W66" s="169">
        <v>3227.38</v>
      </c>
      <c r="X66" s="50"/>
      <c r="Y66" s="67">
        <v>3835</v>
      </c>
    </row>
    <row r="67" spans="1:27" s="7" customFormat="1" ht="9.75" customHeight="1" x14ac:dyDescent="0.3">
      <c r="B67" s="25"/>
      <c r="C67" s="25"/>
      <c r="D67" s="25"/>
      <c r="E67" s="25"/>
      <c r="F67" s="25"/>
      <c r="G67" s="25"/>
      <c r="H67" s="25"/>
      <c r="I67" s="25"/>
      <c r="J67" s="25"/>
      <c r="K67" s="25"/>
      <c r="L67" s="25"/>
      <c r="M67" s="25"/>
      <c r="O67" s="68"/>
      <c r="Q67" s="68"/>
      <c r="R67" s="68"/>
      <c r="S67" s="68"/>
      <c r="T67" s="68"/>
      <c r="V67" s="68"/>
      <c r="W67" s="68"/>
      <c r="Y67" s="68"/>
    </row>
    <row r="68" spans="1:27" s="7" customFormat="1" ht="16.2" hidden="1" thickBot="1" x14ac:dyDescent="0.35">
      <c r="A68" s="26" t="s">
        <v>39</v>
      </c>
      <c r="B68" s="19">
        <v>3594.26</v>
      </c>
      <c r="C68" s="19">
        <v>2700.04</v>
      </c>
      <c r="D68" s="19">
        <v>1760.53</v>
      </c>
      <c r="E68" s="19">
        <f>F49</f>
        <v>773.44</v>
      </c>
      <c r="F68" s="19">
        <v>0</v>
      </c>
      <c r="G68" s="19">
        <v>0</v>
      </c>
      <c r="H68" s="19">
        <v>0</v>
      </c>
      <c r="I68" s="19">
        <v>0</v>
      </c>
      <c r="J68" s="19">
        <v>0</v>
      </c>
      <c r="K68" s="19">
        <v>0</v>
      </c>
      <c r="L68" s="19">
        <v>0</v>
      </c>
      <c r="M68" s="47"/>
      <c r="N68" s="19">
        <v>0</v>
      </c>
      <c r="O68" s="67">
        <v>0</v>
      </c>
      <c r="P68" s="166">
        <v>0</v>
      </c>
      <c r="Q68" s="67">
        <v>0</v>
      </c>
      <c r="R68" s="67">
        <v>0</v>
      </c>
      <c r="S68" s="67">
        <v>0</v>
      </c>
      <c r="T68" s="67">
        <v>0</v>
      </c>
      <c r="V68" s="67">
        <v>0</v>
      </c>
      <c r="W68" s="67"/>
      <c r="Y68" s="67"/>
    </row>
    <row r="69" spans="1:27" s="7" customFormat="1" ht="15.6" hidden="1" x14ac:dyDescent="0.3">
      <c r="A69" s="7" t="s">
        <v>38</v>
      </c>
      <c r="B69" s="25"/>
      <c r="C69" s="25"/>
      <c r="D69" s="25"/>
      <c r="E69" s="25"/>
      <c r="F69"/>
      <c r="G69" s="25"/>
      <c r="H69" s="25"/>
      <c r="I69" s="25"/>
      <c r="J69" s="25"/>
      <c r="K69" s="25"/>
      <c r="L69" s="25"/>
      <c r="M69" s="25"/>
      <c r="O69" s="68"/>
      <c r="Q69" s="68"/>
      <c r="R69" s="68"/>
      <c r="S69" s="68"/>
      <c r="T69" s="68"/>
      <c r="V69" s="68"/>
      <c r="W69" s="68"/>
      <c r="Y69" s="68"/>
    </row>
    <row r="70" spans="1:27" hidden="1" x14ac:dyDescent="0.25">
      <c r="O70" s="69"/>
      <c r="Q70" s="69"/>
      <c r="R70" s="69"/>
      <c r="S70" s="69"/>
      <c r="T70" s="69"/>
      <c r="V70" s="69"/>
      <c r="W70" s="69"/>
      <c r="Y70" s="69"/>
    </row>
    <row r="71" spans="1:27" ht="15.6" x14ac:dyDescent="0.3">
      <c r="A71" s="13" t="s">
        <v>26</v>
      </c>
      <c r="B71" s="14">
        <v>37437</v>
      </c>
      <c r="C71" s="14">
        <v>37802</v>
      </c>
      <c r="D71" s="14">
        <v>38168</v>
      </c>
      <c r="E71" s="14">
        <v>38533</v>
      </c>
      <c r="F71" s="14">
        <v>38898</v>
      </c>
      <c r="G71" s="14">
        <v>39263</v>
      </c>
      <c r="H71" s="14">
        <v>39629</v>
      </c>
      <c r="I71" s="14">
        <v>39994</v>
      </c>
      <c r="J71" s="14">
        <v>40359</v>
      </c>
      <c r="K71" s="14">
        <v>40724</v>
      </c>
      <c r="L71" s="14">
        <v>41090</v>
      </c>
      <c r="M71" s="14">
        <v>41455</v>
      </c>
      <c r="N71" s="14">
        <v>41820</v>
      </c>
      <c r="O71" s="14">
        <v>42185</v>
      </c>
      <c r="P71" s="36">
        <v>42551</v>
      </c>
      <c r="Q71" s="14"/>
      <c r="R71" s="14"/>
      <c r="S71" s="14"/>
      <c r="T71" s="14"/>
      <c r="V71" s="14"/>
      <c r="W71" s="14"/>
      <c r="X71" s="36"/>
      <c r="Y71" s="14"/>
    </row>
    <row r="72" spans="1:27" hidden="1" x14ac:dyDescent="0.25">
      <c r="A72" s="1" t="s">
        <v>52</v>
      </c>
      <c r="B72" s="20">
        <v>3071.96</v>
      </c>
      <c r="C72" s="20">
        <v>3132.12</v>
      </c>
      <c r="D72" s="20">
        <v>3165.03</v>
      </c>
      <c r="E72" s="20">
        <v>3197.79</v>
      </c>
      <c r="F72" s="20">
        <v>3239.05</v>
      </c>
      <c r="G72" s="20"/>
      <c r="H72" s="20"/>
      <c r="I72" s="20"/>
      <c r="J72" s="20"/>
      <c r="K72" s="20"/>
      <c r="L72" s="20"/>
      <c r="M72" s="20"/>
      <c r="N72" s="20"/>
      <c r="O72" s="20"/>
      <c r="P72" s="164"/>
      <c r="Q72" s="20"/>
      <c r="R72" s="20"/>
      <c r="S72" s="20"/>
      <c r="T72" s="20"/>
      <c r="V72" s="20"/>
      <c r="W72" s="20"/>
      <c r="Y72" s="20"/>
    </row>
    <row r="73" spans="1:27" x14ac:dyDescent="0.25">
      <c r="A73" s="1" t="s">
        <v>53</v>
      </c>
      <c r="B73" s="20"/>
      <c r="C73" s="20"/>
      <c r="D73" s="20"/>
      <c r="E73" s="20"/>
      <c r="F73" s="20">
        <v>4836.82</v>
      </c>
      <c r="G73" s="20">
        <v>1160.8399999999999</v>
      </c>
      <c r="H73" s="20">
        <v>1470.78</v>
      </c>
      <c r="I73" s="20">
        <v>1800.42</v>
      </c>
      <c r="J73" s="20">
        <v>2115.1</v>
      </c>
      <c r="K73" s="20">
        <v>2426.2800000000002</v>
      </c>
      <c r="L73" s="20">
        <v>2757.18</v>
      </c>
      <c r="M73" s="20">
        <v>3099.47</v>
      </c>
      <c r="N73" s="20">
        <v>2428.4699999999998</v>
      </c>
      <c r="O73" s="20">
        <v>9752.16</v>
      </c>
      <c r="P73" s="164">
        <v>8119.53</v>
      </c>
      <c r="Q73" s="20">
        <v>0</v>
      </c>
      <c r="R73" s="20"/>
      <c r="S73" s="20">
        <v>111</v>
      </c>
      <c r="T73" s="20">
        <v>110.98</v>
      </c>
      <c r="V73" s="20">
        <v>110.98</v>
      </c>
      <c r="W73" s="20">
        <v>110.98</v>
      </c>
      <c r="Y73" s="20">
        <v>116</v>
      </c>
    </row>
    <row r="74" spans="1:27" ht="13.8" thickBot="1" x14ac:dyDescent="0.3">
      <c r="A74" s="1" t="s">
        <v>186</v>
      </c>
      <c r="B74" s="20">
        <v>5013.5600000000004</v>
      </c>
      <c r="C74" s="20">
        <v>5258.86</v>
      </c>
      <c r="D74" s="20">
        <v>5100.8599999999997</v>
      </c>
      <c r="E74" s="20">
        <v>5029.43</v>
      </c>
      <c r="F74" s="20">
        <v>13.68</v>
      </c>
      <c r="G74" s="20">
        <f>6362.68</f>
        <v>6362.68</v>
      </c>
      <c r="H74" s="20">
        <f>5935</f>
        <v>5935</v>
      </c>
      <c r="I74" s="20">
        <f>6369.68-I75</f>
        <v>6369.68</v>
      </c>
      <c r="J74" s="20">
        <v>6790</v>
      </c>
      <c r="K74" s="20">
        <v>6579.68</v>
      </c>
      <c r="L74" s="20">
        <v>6586.68</v>
      </c>
      <c r="M74" s="20">
        <v>7275.01</v>
      </c>
      <c r="N74" s="20">
        <v>7130.11</v>
      </c>
      <c r="O74" s="20"/>
      <c r="P74" s="164"/>
      <c r="Q74" s="20"/>
      <c r="R74" s="20"/>
      <c r="S74" s="20">
        <v>94</v>
      </c>
      <c r="T74" s="20">
        <v>93.69</v>
      </c>
      <c r="V74" s="20">
        <v>93.69</v>
      </c>
      <c r="W74" s="20">
        <v>93.69</v>
      </c>
      <c r="Y74" s="20">
        <v>94</v>
      </c>
    </row>
    <row r="75" spans="1:27" ht="13.8" hidden="1" thickBot="1" x14ac:dyDescent="0.3">
      <c r="A75" s="23" t="s">
        <v>30</v>
      </c>
      <c r="B75" s="24"/>
      <c r="C75" s="24">
        <v>13.68</v>
      </c>
      <c r="D75" s="24">
        <v>13.68</v>
      </c>
      <c r="E75" s="24">
        <v>13.68</v>
      </c>
      <c r="F75" s="41"/>
      <c r="G75" s="24"/>
      <c r="H75" s="24"/>
      <c r="I75" s="24"/>
      <c r="J75" s="24"/>
      <c r="K75" s="24"/>
      <c r="L75" s="24"/>
      <c r="M75" s="24"/>
      <c r="N75" s="24"/>
      <c r="O75" s="24"/>
      <c r="P75" s="167"/>
      <c r="Q75" s="24"/>
      <c r="R75" s="24"/>
      <c r="S75" s="24"/>
      <c r="T75" s="24"/>
      <c r="V75" s="24"/>
      <c r="W75" s="24"/>
      <c r="Y75" s="24"/>
    </row>
    <row r="76" spans="1:27" s="7" customFormat="1" ht="16.2" thickBot="1" x14ac:dyDescent="0.35">
      <c r="A76" s="15" t="s">
        <v>47</v>
      </c>
      <c r="B76" s="19">
        <f>B75+B74+B72</f>
        <v>8085.52</v>
      </c>
      <c r="C76" s="19">
        <f>C75+C74+C72</f>
        <v>8404.66</v>
      </c>
      <c r="D76" s="19">
        <f>D75+D74+D72</f>
        <v>8279.57</v>
      </c>
      <c r="E76" s="19">
        <f>E75+E74+E72</f>
        <v>8240.9000000000015</v>
      </c>
      <c r="F76" s="19">
        <f>F74+F73+F72</f>
        <v>8089.55</v>
      </c>
      <c r="G76" s="19">
        <f t="shared" ref="G76:M76" si="20">G75+G74+G72+G73</f>
        <v>7523.52</v>
      </c>
      <c r="H76" s="19">
        <f t="shared" si="20"/>
        <v>7405.78</v>
      </c>
      <c r="I76" s="19">
        <f t="shared" si="20"/>
        <v>8170.1</v>
      </c>
      <c r="J76" s="19">
        <f t="shared" si="20"/>
        <v>8905.1</v>
      </c>
      <c r="K76" s="19">
        <f t="shared" si="20"/>
        <v>9005.9600000000009</v>
      </c>
      <c r="L76" s="19">
        <f t="shared" si="20"/>
        <v>9343.86</v>
      </c>
      <c r="M76" s="19">
        <f t="shared" si="20"/>
        <v>10374.48</v>
      </c>
      <c r="N76" s="19">
        <f t="shared" ref="N76:P76" si="21">N73+N74</f>
        <v>9558.58</v>
      </c>
      <c r="O76" s="67">
        <f t="shared" si="21"/>
        <v>9752.16</v>
      </c>
      <c r="P76" s="166">
        <f t="shared" si="21"/>
        <v>8119.53</v>
      </c>
      <c r="Q76" s="67">
        <f>Q73+Q74</f>
        <v>0</v>
      </c>
      <c r="R76" s="67">
        <f>R73+R74</f>
        <v>0</v>
      </c>
      <c r="S76" s="67">
        <f>S73+S74</f>
        <v>205</v>
      </c>
      <c r="T76" s="67">
        <f>T73+T74</f>
        <v>204.67000000000002</v>
      </c>
      <c r="V76" s="67">
        <f>V73+V74</f>
        <v>204.67000000000002</v>
      </c>
      <c r="W76" s="67">
        <f>W73+W74</f>
        <v>204.67000000000002</v>
      </c>
      <c r="X76" s="42"/>
      <c r="Y76" s="67">
        <f>Y73+Y74</f>
        <v>210</v>
      </c>
    </row>
    <row r="77" spans="1:27" s="7" customFormat="1" ht="16.2" thickBot="1" x14ac:dyDescent="0.35">
      <c r="A77" s="46"/>
      <c r="B77" s="47"/>
      <c r="C77" s="47"/>
      <c r="D77" s="47"/>
      <c r="E77" s="47"/>
      <c r="F77" s="47"/>
      <c r="G77" s="47"/>
      <c r="H77" s="47"/>
      <c r="I77" s="47"/>
      <c r="J77" s="47"/>
      <c r="K77" s="47"/>
      <c r="L77" s="47"/>
      <c r="M77" s="47"/>
      <c r="N77" s="47"/>
      <c r="O77" s="70"/>
      <c r="P77" s="47"/>
      <c r="Q77" s="70"/>
      <c r="R77" s="70"/>
      <c r="S77" s="70"/>
      <c r="T77" s="70"/>
      <c r="V77" s="70"/>
      <c r="W77" s="70"/>
      <c r="X77" s="42"/>
      <c r="Y77" s="70"/>
    </row>
    <row r="78" spans="1:27" s="7" customFormat="1" ht="16.2" thickBot="1" x14ac:dyDescent="0.35">
      <c r="A78" s="48" t="s">
        <v>59</v>
      </c>
      <c r="B78" s="19">
        <f t="shared" ref="B78:G78" si="22">B76+B66-B68</f>
        <v>5699.26</v>
      </c>
      <c r="C78" s="19">
        <f t="shared" si="22"/>
        <v>8011.7499999999973</v>
      </c>
      <c r="D78" s="19">
        <f t="shared" si="22"/>
        <v>9681.4600000000009</v>
      </c>
      <c r="E78" s="19">
        <f t="shared" si="22"/>
        <v>11613.510000000004</v>
      </c>
      <c r="F78" s="19">
        <f t="shared" si="22"/>
        <v>11531.82</v>
      </c>
      <c r="G78" s="19">
        <f t="shared" si="22"/>
        <v>11565.680000000004</v>
      </c>
      <c r="H78" s="19">
        <f>H76+H66</f>
        <v>13075.540000000005</v>
      </c>
      <c r="I78" s="19">
        <f>I76+I66</f>
        <v>12551.760000000002</v>
      </c>
      <c r="J78" s="19">
        <f>J76+J66</f>
        <v>13298.189999999999</v>
      </c>
      <c r="K78" s="19">
        <f>K76+K66</f>
        <v>12835.010000000002</v>
      </c>
      <c r="L78" s="19">
        <f>L76+L66</f>
        <v>11007.300000000005</v>
      </c>
      <c r="M78" s="19">
        <f>M76+N66</f>
        <v>12107.130000000006</v>
      </c>
      <c r="N78" s="19">
        <f t="shared" ref="N78:P78" si="23">N76+N66</f>
        <v>11291.230000000007</v>
      </c>
      <c r="O78" s="67">
        <f t="shared" si="23"/>
        <v>11064.400000000003</v>
      </c>
      <c r="P78" s="166">
        <f t="shared" si="23"/>
        <v>11893.710000000006</v>
      </c>
      <c r="Q78" s="67">
        <f>Q76+Q66</f>
        <v>1933.170000000011</v>
      </c>
      <c r="R78" s="67">
        <f>R76+R66</f>
        <v>8480.8899999999958</v>
      </c>
      <c r="S78" s="67">
        <f>S76+S66</f>
        <v>9647</v>
      </c>
      <c r="T78" s="67">
        <f>T76+T66</f>
        <v>3683.1800000000094</v>
      </c>
      <c r="V78" s="67">
        <f>V76+V66</f>
        <v>3683.1800000000094</v>
      </c>
      <c r="W78" s="67">
        <f>W64+W76</f>
        <v>4039.5600000000004</v>
      </c>
      <c r="X78" s="42"/>
      <c r="Y78" s="67">
        <f>Y64+Y76</f>
        <v>4045</v>
      </c>
      <c r="AA78" s="42"/>
    </row>
    <row r="79" spans="1:27" s="7" customFormat="1" ht="15.6" hidden="1" x14ac:dyDescent="0.3">
      <c r="A79" s="46"/>
      <c r="B79" s="47"/>
      <c r="C79" s="47"/>
      <c r="D79" s="47"/>
      <c r="E79" s="47"/>
      <c r="F79" s="47"/>
      <c r="G79" s="47"/>
      <c r="H79" s="47"/>
      <c r="I79" s="47"/>
      <c r="J79" s="47"/>
      <c r="K79" s="47"/>
      <c r="L79" s="47"/>
      <c r="M79" s="47"/>
      <c r="N79" s="47"/>
      <c r="O79" s="70"/>
      <c r="P79" s="47"/>
      <c r="Q79" s="70"/>
      <c r="R79" s="70"/>
      <c r="S79" s="70"/>
      <c r="T79" s="70"/>
      <c r="V79" s="70"/>
      <c r="W79" s="70"/>
      <c r="X79" s="42"/>
      <c r="Y79" s="70"/>
    </row>
    <row r="80" spans="1:27" hidden="1" x14ac:dyDescent="0.25">
      <c r="O80" s="69"/>
      <c r="Q80" s="69"/>
      <c r="R80" s="69"/>
      <c r="S80" s="69"/>
      <c r="T80" s="69"/>
      <c r="V80" s="69"/>
      <c r="W80" s="69"/>
      <c r="X80" s="43"/>
      <c r="Y80" s="69"/>
    </row>
    <row r="81" spans="1:25" ht="15.6" hidden="1" x14ac:dyDescent="0.3">
      <c r="A81" s="13" t="s">
        <v>26</v>
      </c>
      <c r="B81" s="14">
        <v>37256</v>
      </c>
      <c r="C81" s="14">
        <v>37621</v>
      </c>
      <c r="D81" s="14">
        <v>37986</v>
      </c>
      <c r="E81" s="14">
        <v>38352</v>
      </c>
      <c r="F81" s="14">
        <v>38717</v>
      </c>
      <c r="G81" s="14">
        <v>39082</v>
      </c>
      <c r="H81" s="14">
        <v>39446</v>
      </c>
      <c r="I81" s="14">
        <v>39446</v>
      </c>
      <c r="J81" s="14">
        <v>39446</v>
      </c>
      <c r="K81" s="14">
        <v>39446</v>
      </c>
      <c r="L81" s="14">
        <v>39446</v>
      </c>
      <c r="M81" s="14">
        <v>39446</v>
      </c>
      <c r="N81" s="14">
        <v>39812</v>
      </c>
      <c r="O81" s="14">
        <v>39812</v>
      </c>
      <c r="P81" s="36">
        <v>39812</v>
      </c>
      <c r="Q81" s="14">
        <v>39812</v>
      </c>
      <c r="R81" s="14">
        <v>39812</v>
      </c>
      <c r="S81" s="14">
        <v>39812</v>
      </c>
      <c r="T81" s="14">
        <v>39812</v>
      </c>
      <c r="V81" s="14">
        <v>39812</v>
      </c>
      <c r="W81" s="14"/>
      <c r="Y81" s="14"/>
    </row>
    <row r="82" spans="1:25" hidden="1" x14ac:dyDescent="0.25">
      <c r="A82" s="1" t="s">
        <v>27</v>
      </c>
      <c r="B82" s="20">
        <v>3036.06</v>
      </c>
      <c r="C82" s="20">
        <v>3137.08</v>
      </c>
      <c r="D82" s="20">
        <f>15.748*199.98</f>
        <v>3149.2850399999998</v>
      </c>
      <c r="E82" s="20">
        <v>3181</v>
      </c>
      <c r="F82" s="20">
        <v>3215</v>
      </c>
      <c r="G82" s="20"/>
      <c r="H82" s="20"/>
      <c r="I82" s="20"/>
      <c r="J82" s="20"/>
      <c r="K82" s="20"/>
      <c r="L82" s="20"/>
      <c r="M82" s="20"/>
      <c r="N82" s="20"/>
      <c r="O82" s="20"/>
      <c r="P82" s="164"/>
      <c r="Q82" s="20"/>
      <c r="R82" s="20"/>
      <c r="S82" s="20"/>
      <c r="T82" s="20"/>
      <c r="V82" s="20"/>
      <c r="W82" s="20"/>
      <c r="Y82" s="20"/>
    </row>
    <row r="83" spans="1:25" hidden="1" x14ac:dyDescent="0.25">
      <c r="A83" s="1" t="s">
        <v>53</v>
      </c>
      <c r="B83" s="20"/>
      <c r="C83" s="20"/>
      <c r="D83" s="20"/>
      <c r="E83" s="20"/>
      <c r="F83" s="1"/>
      <c r="G83" s="20">
        <v>1020.84</v>
      </c>
      <c r="H83" s="20"/>
      <c r="I83" s="20"/>
      <c r="J83" s="20"/>
      <c r="K83" s="20"/>
      <c r="L83" s="20"/>
      <c r="M83" s="20"/>
      <c r="N83" s="20"/>
      <c r="O83" s="20"/>
      <c r="P83" s="164"/>
      <c r="Q83" s="20"/>
      <c r="R83" s="20"/>
      <c r="S83" s="20"/>
      <c r="T83" s="20"/>
      <c r="V83" s="20"/>
      <c r="W83" s="20"/>
      <c r="Y83" s="20"/>
    </row>
    <row r="84" spans="1:25" hidden="1" x14ac:dyDescent="0.25">
      <c r="A84" s="1" t="s">
        <v>54</v>
      </c>
      <c r="B84" s="20">
        <v>4886.04</v>
      </c>
      <c r="C84" s="20">
        <v>5027.83</v>
      </c>
      <c r="D84" s="20">
        <f>4573*1.0903</f>
        <v>4985.9418999999998</v>
      </c>
      <c r="E84" s="20">
        <v>4930</v>
      </c>
      <c r="F84" s="20">
        <v>4767</v>
      </c>
      <c r="G84" s="20">
        <f>6769.87-13.68</f>
        <v>6756.19</v>
      </c>
      <c r="H84" s="20"/>
      <c r="I84" s="20"/>
      <c r="J84" s="20"/>
      <c r="K84" s="20"/>
      <c r="L84" s="20"/>
      <c r="M84" s="20"/>
      <c r="N84" s="20"/>
      <c r="O84" s="20"/>
      <c r="P84" s="164"/>
      <c r="Q84" s="20"/>
      <c r="R84" s="20"/>
      <c r="S84" s="20"/>
      <c r="T84" s="20"/>
      <c r="V84" s="20"/>
      <c r="W84" s="20"/>
      <c r="Y84" s="20"/>
    </row>
    <row r="85" spans="1:25" ht="13.8" hidden="1" thickBot="1" x14ac:dyDescent="0.3">
      <c r="A85" s="23" t="s">
        <v>30</v>
      </c>
      <c r="B85" s="24"/>
      <c r="C85" s="24">
        <v>13.68</v>
      </c>
      <c r="D85" s="24">
        <v>13.68</v>
      </c>
      <c r="E85" s="24">
        <v>14</v>
      </c>
      <c r="F85" s="24">
        <v>14</v>
      </c>
      <c r="G85" s="24">
        <v>14</v>
      </c>
      <c r="H85" s="24"/>
      <c r="I85" s="24"/>
      <c r="J85" s="24"/>
      <c r="K85" s="24"/>
      <c r="L85" s="24"/>
      <c r="M85" s="24"/>
      <c r="N85" s="24"/>
      <c r="O85" s="24"/>
      <c r="P85" s="167"/>
      <c r="Q85" s="24"/>
      <c r="R85" s="24"/>
      <c r="S85" s="24"/>
      <c r="T85" s="24"/>
      <c r="V85" s="24"/>
      <c r="W85" s="24"/>
      <c r="Y85" s="24"/>
    </row>
    <row r="86" spans="1:25" s="7" customFormat="1" ht="16.2" hidden="1" thickBot="1" x14ac:dyDescent="0.35">
      <c r="A86" s="15" t="s">
        <v>47</v>
      </c>
      <c r="B86" s="19">
        <f>B85+B84+B82</f>
        <v>7922.1</v>
      </c>
      <c r="C86" s="19">
        <f>C85+C84+C82</f>
        <v>8178.59</v>
      </c>
      <c r="D86" s="19">
        <f>D85+D84+D82</f>
        <v>8148.9069399999998</v>
      </c>
      <c r="E86" s="19">
        <f>E85+E84+E82</f>
        <v>8125</v>
      </c>
      <c r="F86" s="19">
        <f>F85+F84+F82</f>
        <v>7996</v>
      </c>
      <c r="G86" s="19">
        <f t="shared" ref="G86:M86" si="24">G83+G84+G85</f>
        <v>7791.03</v>
      </c>
      <c r="H86" s="19">
        <f t="shared" si="24"/>
        <v>0</v>
      </c>
      <c r="I86" s="19">
        <f t="shared" si="24"/>
        <v>0</v>
      </c>
      <c r="J86" s="19">
        <f t="shared" si="24"/>
        <v>0</v>
      </c>
      <c r="K86" s="19">
        <f t="shared" si="24"/>
        <v>0</v>
      </c>
      <c r="L86" s="19">
        <f t="shared" si="24"/>
        <v>0</v>
      </c>
      <c r="M86" s="19">
        <f t="shared" si="24"/>
        <v>0</v>
      </c>
      <c r="N86" s="19">
        <v>7500</v>
      </c>
      <c r="O86" s="67">
        <v>7500</v>
      </c>
      <c r="P86" s="166">
        <v>7500</v>
      </c>
      <c r="Q86" s="67">
        <v>7500</v>
      </c>
      <c r="R86" s="67">
        <v>7500</v>
      </c>
      <c r="S86" s="67">
        <v>7500</v>
      </c>
      <c r="T86" s="67">
        <v>7500</v>
      </c>
      <c r="V86" s="67">
        <v>7500</v>
      </c>
      <c r="W86" s="67"/>
      <c r="Y86" s="67"/>
    </row>
    <row r="87" spans="1:25" hidden="1" x14ac:dyDescent="0.25">
      <c r="O87" s="69"/>
      <c r="Q87" s="69"/>
      <c r="R87" s="69"/>
      <c r="S87" s="69"/>
      <c r="T87" s="69"/>
      <c r="V87" s="69"/>
      <c r="W87" s="69"/>
      <c r="Y87" s="69"/>
    </row>
    <row r="88" spans="1:25" hidden="1" x14ac:dyDescent="0.25">
      <c r="O88" s="69"/>
      <c r="Q88" s="69"/>
      <c r="R88" s="69"/>
      <c r="S88" s="69"/>
      <c r="T88" s="69"/>
      <c r="V88" s="69"/>
      <c r="W88" s="69"/>
      <c r="Y88" s="69"/>
    </row>
    <row r="89" spans="1:25" hidden="1" x14ac:dyDescent="0.25">
      <c r="O89" s="69"/>
      <c r="Q89" s="69"/>
      <c r="R89" s="69"/>
      <c r="S89" s="69"/>
      <c r="T89" s="69"/>
      <c r="V89" s="69"/>
      <c r="W89" s="69"/>
      <c r="Y89" s="69"/>
    </row>
    <row r="90" spans="1:25" ht="13.5" customHeight="1" thickBot="1" x14ac:dyDescent="0.3">
      <c r="B90" s="28" t="s">
        <v>37</v>
      </c>
      <c r="F90" s="29" t="s">
        <v>51</v>
      </c>
      <c r="G90" s="29" t="s">
        <v>51</v>
      </c>
      <c r="H90" s="29" t="s">
        <v>51</v>
      </c>
      <c r="I90" s="29" t="s">
        <v>51</v>
      </c>
      <c r="J90" s="29" t="s">
        <v>51</v>
      </c>
      <c r="K90" s="29" t="s">
        <v>51</v>
      </c>
      <c r="L90" s="29" t="s">
        <v>51</v>
      </c>
      <c r="M90" s="29" t="s">
        <v>51</v>
      </c>
      <c r="N90" s="29" t="s">
        <v>51</v>
      </c>
      <c r="O90" s="29" t="s">
        <v>51</v>
      </c>
      <c r="P90" s="29" t="s">
        <v>51</v>
      </c>
      <c r="Q90" s="29" t="s">
        <v>51</v>
      </c>
      <c r="R90" s="29" t="s">
        <v>51</v>
      </c>
      <c r="S90" s="29" t="s">
        <v>51</v>
      </c>
      <c r="T90" s="29" t="s">
        <v>51</v>
      </c>
      <c r="V90" s="71" t="s">
        <v>46</v>
      </c>
      <c r="W90" s="29"/>
      <c r="Y90" s="71"/>
    </row>
    <row r="91" spans="1:25" s="7" customFormat="1" ht="16.2" thickBot="1" x14ac:dyDescent="0.35">
      <c r="A91" s="51" t="s">
        <v>65</v>
      </c>
      <c r="B91" s="6">
        <v>78</v>
      </c>
      <c r="C91" s="6">
        <v>81</v>
      </c>
      <c r="D91" s="6">
        <v>82</v>
      </c>
      <c r="E91" s="6">
        <v>76</v>
      </c>
      <c r="F91" s="6">
        <v>79</v>
      </c>
      <c r="G91" s="6">
        <v>81</v>
      </c>
      <c r="H91" s="6">
        <v>79</v>
      </c>
      <c r="I91" s="6">
        <v>74</v>
      </c>
      <c r="J91" s="6">
        <v>77</v>
      </c>
      <c r="K91" s="6">
        <v>81</v>
      </c>
      <c r="L91" s="6">
        <v>73</v>
      </c>
      <c r="M91" s="6">
        <v>71</v>
      </c>
      <c r="N91" s="6">
        <v>64</v>
      </c>
      <c r="O91" s="72">
        <v>58</v>
      </c>
      <c r="P91" s="168">
        <v>56</v>
      </c>
      <c r="Q91" s="72">
        <v>57</v>
      </c>
      <c r="R91" s="72">
        <v>52</v>
      </c>
      <c r="S91" s="72">
        <v>52</v>
      </c>
      <c r="T91" s="72">
        <v>50</v>
      </c>
      <c r="V91" s="72">
        <v>52</v>
      </c>
      <c r="W91" s="72">
        <v>62</v>
      </c>
      <c r="Y91" s="72">
        <v>57</v>
      </c>
    </row>
  </sheetData>
  <mergeCells count="2">
    <mergeCell ref="A1:Y1"/>
    <mergeCell ref="AA2:AB2"/>
  </mergeCells>
  <phoneticPr fontId="0" type="noConversion"/>
  <printOptions horizontalCentered="1" verticalCentered="1"/>
  <pageMargins left="0" right="0" top="0" bottom="0" header="0.51181102362204722" footer="0.19685039370078741"/>
  <pageSetup paperSize="9" scale="89" orientation="portrait" horizontalDpi="4294967293" verticalDpi="300" r:id="rId1"/>
  <headerFooter alignWithMargins="0">
    <oddFooter xml:space="preserve">&amp;LFichier :&amp;F&amp;RTW et LM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workbookViewId="0">
      <selection activeCell="G20" sqref="G20"/>
    </sheetView>
  </sheetViews>
  <sheetFormatPr baseColWidth="10" defaultColWidth="11.44140625" defaultRowHeight="13.2" x14ac:dyDescent="0.25"/>
  <cols>
    <col min="1" max="1" width="38.5546875" style="108" customWidth="1"/>
    <col min="2" max="2" width="14.44140625" style="108" customWidth="1"/>
    <col min="3" max="3" width="26" style="108" bestFit="1" customWidth="1"/>
    <col min="4" max="4" width="14.6640625" style="108" customWidth="1"/>
    <col min="5" max="16384" width="11.44140625" style="108"/>
  </cols>
  <sheetData>
    <row r="1" spans="1:4" ht="24.6" x14ac:dyDescent="0.4">
      <c r="A1" s="176" t="s">
        <v>91</v>
      </c>
      <c r="B1" s="176"/>
      <c r="C1" s="176"/>
      <c r="D1" s="176"/>
    </row>
    <row r="2" spans="1:4" ht="13.8" x14ac:dyDescent="0.3">
      <c r="A2" s="177" t="s">
        <v>92</v>
      </c>
      <c r="B2" s="177"/>
      <c r="C2" s="177"/>
      <c r="D2" s="177"/>
    </row>
    <row r="3" spans="1:4" x14ac:dyDescent="0.25">
      <c r="A3" s="178" t="s">
        <v>93</v>
      </c>
      <c r="B3" s="178"/>
      <c r="C3" s="178"/>
      <c r="D3" s="178"/>
    </row>
    <row r="4" spans="1:4" ht="16.2" thickBot="1" x14ac:dyDescent="0.35">
      <c r="A4" s="170" t="s">
        <v>176</v>
      </c>
      <c r="B4" s="133" t="str">
        <f>Base!W2</f>
        <v>REEL</v>
      </c>
      <c r="C4" s="133" t="str">
        <f>Base!W3</f>
        <v>2023-2024</v>
      </c>
      <c r="D4" s="133"/>
    </row>
    <row r="5" spans="1:4" ht="13.8" thickBot="1" x14ac:dyDescent="0.3">
      <c r="A5" s="109" t="s">
        <v>94</v>
      </c>
      <c r="B5" s="110" t="s">
        <v>95</v>
      </c>
      <c r="C5" s="110" t="s">
        <v>96</v>
      </c>
      <c r="D5" s="110" t="s">
        <v>97</v>
      </c>
    </row>
    <row r="6" spans="1:4" ht="13.8" thickBot="1" x14ac:dyDescent="0.3">
      <c r="A6" s="179" t="s">
        <v>98</v>
      </c>
      <c r="B6" s="180"/>
      <c r="C6" s="181" t="s">
        <v>99</v>
      </c>
      <c r="D6" s="182"/>
    </row>
    <row r="7" spans="1:4" s="115" customFormat="1" ht="21" thickBot="1" x14ac:dyDescent="0.3">
      <c r="A7" s="111" t="s">
        <v>100</v>
      </c>
      <c r="B7" s="112"/>
      <c r="C7" s="113" t="s">
        <v>101</v>
      </c>
      <c r="D7" s="114"/>
    </row>
    <row r="8" spans="1:4" s="115" customFormat="1" ht="16.2" thickBot="1" x14ac:dyDescent="0.3">
      <c r="A8" s="116" t="s">
        <v>102</v>
      </c>
      <c r="B8" s="117">
        <f>Base!W41-Base!W42</f>
        <v>4678.6499999999996</v>
      </c>
      <c r="C8" s="141" t="s">
        <v>102</v>
      </c>
      <c r="D8" s="117">
        <f>D37-D19-D27</f>
        <v>25696.93</v>
      </c>
    </row>
    <row r="9" spans="1:4" s="115" customFormat="1" ht="16.2" thickBot="1" x14ac:dyDescent="0.3">
      <c r="A9" s="116" t="s">
        <v>103</v>
      </c>
      <c r="B9" s="117">
        <f>Base!W52+Base!W29+Base!W31</f>
        <v>3041.1</v>
      </c>
      <c r="C9" s="113" t="s">
        <v>104</v>
      </c>
      <c r="D9" s="118"/>
    </row>
    <row r="10" spans="1:4" s="115" customFormat="1" ht="16.2" thickBot="1" x14ac:dyDescent="0.3">
      <c r="A10" s="116" t="s">
        <v>105</v>
      </c>
      <c r="B10" s="117"/>
      <c r="C10" s="112" t="s">
        <v>106</v>
      </c>
      <c r="D10" s="117"/>
    </row>
    <row r="11" spans="1:4" s="115" customFormat="1" ht="16.2" thickBot="1" x14ac:dyDescent="0.3">
      <c r="A11" s="111" t="s">
        <v>107</v>
      </c>
      <c r="B11" s="118"/>
      <c r="C11" s="119" t="s">
        <v>108</v>
      </c>
      <c r="D11" s="117"/>
    </row>
    <row r="12" spans="1:4" s="115" customFormat="1" ht="16.2" thickBot="1" x14ac:dyDescent="0.3">
      <c r="A12" s="116" t="s">
        <v>109</v>
      </c>
      <c r="B12" s="117"/>
      <c r="C12" s="112" t="s">
        <v>108</v>
      </c>
      <c r="D12" s="117"/>
    </row>
    <row r="13" spans="1:4" s="115" customFormat="1" ht="16.2" thickBot="1" x14ac:dyDescent="0.3">
      <c r="A13" s="116" t="s">
        <v>110</v>
      </c>
      <c r="B13" s="117"/>
      <c r="C13" s="112" t="s">
        <v>111</v>
      </c>
      <c r="D13" s="117"/>
    </row>
    <row r="14" spans="1:4" s="115" customFormat="1" ht="16.2" thickBot="1" x14ac:dyDescent="0.3">
      <c r="A14" s="116" t="s">
        <v>112</v>
      </c>
      <c r="B14" s="117"/>
      <c r="C14" s="112" t="s">
        <v>108</v>
      </c>
      <c r="D14" s="117"/>
    </row>
    <row r="15" spans="1:4" s="115" customFormat="1" ht="16.2" thickBot="1" x14ac:dyDescent="0.3">
      <c r="A15" s="116" t="s">
        <v>113</v>
      </c>
      <c r="B15" s="117"/>
      <c r="C15" s="112" t="s">
        <v>114</v>
      </c>
      <c r="D15" s="117"/>
    </row>
    <row r="16" spans="1:4" s="115" customFormat="1" ht="16.2" thickBot="1" x14ac:dyDescent="0.3">
      <c r="A16" s="111" t="s">
        <v>115</v>
      </c>
      <c r="B16" s="118"/>
      <c r="C16" s="114"/>
      <c r="D16" s="117"/>
    </row>
    <row r="17" spans="1:7" s="115" customFormat="1" ht="16.2" thickBot="1" x14ac:dyDescent="0.3">
      <c r="A17" s="116" t="s">
        <v>116</v>
      </c>
      <c r="B17" s="117"/>
      <c r="C17" s="112" t="s">
        <v>117</v>
      </c>
      <c r="D17" s="117"/>
    </row>
    <row r="18" spans="1:7" s="115" customFormat="1" ht="16.2" thickBot="1" x14ac:dyDescent="0.3">
      <c r="A18" s="116" t="s">
        <v>118</v>
      </c>
      <c r="B18" s="117">
        <f>Base!W43</f>
        <v>142.56</v>
      </c>
      <c r="C18" s="112" t="s">
        <v>108</v>
      </c>
      <c r="D18" s="117"/>
    </row>
    <row r="19" spans="1:7" s="115" customFormat="1" ht="16.2" thickBot="1" x14ac:dyDescent="0.3">
      <c r="A19" s="116" t="s">
        <v>119</v>
      </c>
      <c r="B19" s="117">
        <f>B37-B20-B18-B8-B9:C9</f>
        <v>14815.469999999992</v>
      </c>
      <c r="C19" s="112" t="s">
        <v>120</v>
      </c>
      <c r="D19" s="117">
        <f>Base!W14-D27</f>
        <v>1385</v>
      </c>
      <c r="F19" s="132">
        <f>B8+B9+B18+B19+B20</f>
        <v>25618.089999999993</v>
      </c>
      <c r="G19" s="132">
        <f>D8+D19+D27</f>
        <v>27331.93</v>
      </c>
    </row>
    <row r="20" spans="1:7" s="115" customFormat="1" ht="16.2" thickBot="1" x14ac:dyDescent="0.3">
      <c r="A20" s="116" t="s">
        <v>121</v>
      </c>
      <c r="B20" s="117">
        <f>Base!W33+Base!W36+Base!W40+Base!W53+Base!W54</f>
        <v>2940.31</v>
      </c>
      <c r="C20" s="119" t="s">
        <v>108</v>
      </c>
      <c r="D20" s="117"/>
    </row>
    <row r="21" spans="1:7" s="115" customFormat="1" ht="16.2" thickBot="1" x14ac:dyDescent="0.3">
      <c r="A21" s="111" t="s">
        <v>122</v>
      </c>
      <c r="B21" s="118"/>
      <c r="C21" s="112" t="s">
        <v>123</v>
      </c>
      <c r="D21" s="117"/>
    </row>
    <row r="22" spans="1:7" s="115" customFormat="1" ht="16.2" thickBot="1" x14ac:dyDescent="0.3">
      <c r="A22" s="116" t="s">
        <v>124</v>
      </c>
      <c r="B22" s="117"/>
      <c r="C22" s="112" t="s">
        <v>108</v>
      </c>
      <c r="D22" s="117"/>
    </row>
    <row r="23" spans="1:7" s="115" customFormat="1" ht="16.2" thickBot="1" x14ac:dyDescent="0.3">
      <c r="A23" s="116" t="s">
        <v>125</v>
      </c>
      <c r="B23" s="117"/>
      <c r="C23" s="112" t="s">
        <v>126</v>
      </c>
      <c r="D23" s="117"/>
    </row>
    <row r="24" spans="1:7" s="115" customFormat="1" ht="16.2" thickBot="1" x14ac:dyDescent="0.3">
      <c r="A24" s="111" t="s">
        <v>127</v>
      </c>
      <c r="B24" s="118"/>
      <c r="C24" s="112" t="s">
        <v>108</v>
      </c>
      <c r="D24" s="117"/>
    </row>
    <row r="25" spans="1:7" s="115" customFormat="1" ht="21" thickBot="1" x14ac:dyDescent="0.3">
      <c r="A25" s="116" t="s">
        <v>128</v>
      </c>
      <c r="B25" s="117"/>
      <c r="C25" s="112" t="s">
        <v>129</v>
      </c>
      <c r="D25" s="117"/>
    </row>
    <row r="26" spans="1:7" s="115" customFormat="1" ht="16.2" thickBot="1" x14ac:dyDescent="0.3">
      <c r="A26" s="116" t="s">
        <v>130</v>
      </c>
      <c r="B26" s="117"/>
      <c r="C26" s="112" t="s">
        <v>131</v>
      </c>
      <c r="D26" s="117"/>
    </row>
    <row r="27" spans="1:7" s="115" customFormat="1" ht="16.2" thickBot="1" x14ac:dyDescent="0.3">
      <c r="A27" s="116" t="s">
        <v>132</v>
      </c>
      <c r="B27" s="117"/>
      <c r="C27" s="112" t="s">
        <v>133</v>
      </c>
      <c r="D27" s="117">
        <f>Base!W15</f>
        <v>250</v>
      </c>
    </row>
    <row r="28" spans="1:7" s="115" customFormat="1" ht="16.2" thickBot="1" x14ac:dyDescent="0.3">
      <c r="A28" s="111" t="s">
        <v>134</v>
      </c>
      <c r="B28" s="117"/>
      <c r="C28" s="113" t="s">
        <v>135</v>
      </c>
      <c r="D28" s="117"/>
    </row>
    <row r="29" spans="1:7" s="115" customFormat="1" ht="16.2" thickBot="1" x14ac:dyDescent="0.3">
      <c r="A29" s="111" t="s">
        <v>136</v>
      </c>
      <c r="B29" s="117"/>
      <c r="C29" s="112" t="s">
        <v>137</v>
      </c>
      <c r="D29" s="117"/>
    </row>
    <row r="30" spans="1:7" s="115" customFormat="1" ht="16.2" thickBot="1" x14ac:dyDescent="0.3">
      <c r="A30" s="111" t="s">
        <v>138</v>
      </c>
      <c r="B30" s="117"/>
      <c r="C30" s="113" t="s">
        <v>139</v>
      </c>
      <c r="D30" s="117"/>
    </row>
    <row r="31" spans="1:7" s="115" customFormat="1" x14ac:dyDescent="0.25">
      <c r="A31" s="183" t="s">
        <v>140</v>
      </c>
      <c r="B31" s="185"/>
      <c r="C31" s="120" t="s">
        <v>141</v>
      </c>
      <c r="D31" s="185"/>
    </row>
    <row r="32" spans="1:7" s="115" customFormat="1" ht="13.8" thickBot="1" x14ac:dyDescent="0.3">
      <c r="A32" s="184"/>
      <c r="B32" s="186"/>
      <c r="C32" s="113" t="s">
        <v>142</v>
      </c>
      <c r="D32" s="186"/>
    </row>
    <row r="33" spans="1:8" s="115" customFormat="1" ht="16.2" thickBot="1" x14ac:dyDescent="0.3">
      <c r="A33" s="121" t="s">
        <v>143</v>
      </c>
      <c r="B33" s="122"/>
      <c r="C33" s="123"/>
      <c r="D33" s="124"/>
    </row>
    <row r="34" spans="1:8" s="115" customFormat="1" ht="16.2" thickBot="1" x14ac:dyDescent="0.3">
      <c r="A34" s="111" t="s">
        <v>144</v>
      </c>
      <c r="B34" s="117"/>
      <c r="C34" s="114"/>
      <c r="D34" s="117"/>
    </row>
    <row r="35" spans="1:8" s="115" customFormat="1" ht="16.2" thickBot="1" x14ac:dyDescent="0.3">
      <c r="A35" s="111" t="s">
        <v>145</v>
      </c>
      <c r="B35" s="117">
        <f>'[1]Prévision N+1'!A59</f>
        <v>0</v>
      </c>
      <c r="C35" s="114"/>
      <c r="D35" s="117"/>
    </row>
    <row r="36" spans="1:8" s="115" customFormat="1" ht="16.2" thickBot="1" x14ac:dyDescent="0.3">
      <c r="A36" s="111" t="s">
        <v>146</v>
      </c>
      <c r="B36" s="117"/>
      <c r="C36" s="114"/>
      <c r="D36" s="117"/>
    </row>
    <row r="37" spans="1:8" s="115" customFormat="1" ht="16.2" thickBot="1" x14ac:dyDescent="0.3">
      <c r="A37" s="125" t="s">
        <v>147</v>
      </c>
      <c r="B37" s="126">
        <f>B44-B39</f>
        <v>25618.089999999997</v>
      </c>
      <c r="C37" s="127" t="s">
        <v>148</v>
      </c>
      <c r="D37" s="126">
        <f>D44-D39</f>
        <v>27331.93</v>
      </c>
    </row>
    <row r="38" spans="1:8" s="115" customFormat="1" ht="13.8" thickBot="1" x14ac:dyDescent="0.3">
      <c r="A38" s="128" t="s">
        <v>149</v>
      </c>
      <c r="B38" s="129"/>
      <c r="C38" s="130"/>
      <c r="D38" s="131"/>
    </row>
    <row r="39" spans="1:8" s="115" customFormat="1" x14ac:dyDescent="0.25">
      <c r="A39" s="183" t="s">
        <v>150</v>
      </c>
      <c r="B39" s="185">
        <f>D39</f>
        <v>12715</v>
      </c>
      <c r="C39" s="189" t="s">
        <v>151</v>
      </c>
      <c r="D39" s="185">
        <f>Base!W13</f>
        <v>12715</v>
      </c>
    </row>
    <row r="40" spans="1:8" s="115" customFormat="1" ht="13.8" thickBot="1" x14ac:dyDescent="0.3">
      <c r="A40" s="184"/>
      <c r="B40" s="186"/>
      <c r="C40" s="190"/>
      <c r="D40" s="186"/>
    </row>
    <row r="41" spans="1:8" s="115" customFormat="1" ht="16.2" thickBot="1" x14ac:dyDescent="0.3">
      <c r="A41" s="116" t="s">
        <v>152</v>
      </c>
      <c r="B41" s="117"/>
      <c r="C41" s="112" t="s">
        <v>153</v>
      </c>
      <c r="D41" s="117"/>
    </row>
    <row r="42" spans="1:8" s="115" customFormat="1" ht="16.2" thickBot="1" x14ac:dyDescent="0.3">
      <c r="A42" s="116" t="s">
        <v>154</v>
      </c>
      <c r="B42" s="117"/>
      <c r="C42" s="112" t="s">
        <v>155</v>
      </c>
      <c r="D42" s="117"/>
    </row>
    <row r="43" spans="1:8" s="115" customFormat="1" ht="16.2" thickBot="1" x14ac:dyDescent="0.3">
      <c r="A43" s="116" t="s">
        <v>156</v>
      </c>
      <c r="B43" s="117"/>
      <c r="C43" s="112" t="s">
        <v>157</v>
      </c>
      <c r="D43" s="117"/>
    </row>
    <row r="44" spans="1:8" s="115" customFormat="1" ht="16.2" thickBot="1" x14ac:dyDescent="0.3">
      <c r="A44" s="111" t="s">
        <v>158</v>
      </c>
      <c r="B44" s="126">
        <f>Base!W57</f>
        <v>38333.089999999997</v>
      </c>
      <c r="C44" s="113" t="s">
        <v>158</v>
      </c>
      <c r="D44" s="126">
        <f>Base!W26</f>
        <v>40046.93</v>
      </c>
      <c r="H44" s="132"/>
    </row>
    <row r="45" spans="1:8" x14ac:dyDescent="0.25">
      <c r="A45" s="191" t="s">
        <v>159</v>
      </c>
      <c r="B45" s="191"/>
      <c r="C45" s="191"/>
      <c r="D45" s="191"/>
    </row>
    <row r="46" spans="1:8" ht="31.5" customHeight="1" x14ac:dyDescent="0.25">
      <c r="A46" s="188" t="s">
        <v>160</v>
      </c>
      <c r="B46" s="188"/>
      <c r="C46" s="188"/>
      <c r="D46" s="188"/>
    </row>
    <row r="47" spans="1:8" ht="24.75" customHeight="1" x14ac:dyDescent="0.25">
      <c r="A47" s="187" t="s">
        <v>161</v>
      </c>
      <c r="B47" s="187"/>
      <c r="C47" s="187"/>
      <c r="D47" s="187"/>
    </row>
    <row r="48" spans="1:8" ht="23.25" customHeight="1" x14ac:dyDescent="0.25">
      <c r="A48" s="188" t="s">
        <v>162</v>
      </c>
      <c r="B48" s="188"/>
      <c r="C48" s="188"/>
      <c r="D48" s="188"/>
    </row>
  </sheetData>
  <mergeCells count="16">
    <mergeCell ref="A31:A32"/>
    <mergeCell ref="B31:B32"/>
    <mergeCell ref="D31:D32"/>
    <mergeCell ref="A47:D47"/>
    <mergeCell ref="A48:D48"/>
    <mergeCell ref="A39:A40"/>
    <mergeCell ref="B39:B40"/>
    <mergeCell ref="C39:C40"/>
    <mergeCell ref="D39:D40"/>
    <mergeCell ref="A45:D45"/>
    <mergeCell ref="A46:D46"/>
    <mergeCell ref="A1:D1"/>
    <mergeCell ref="A2:D2"/>
    <mergeCell ref="A3:D3"/>
    <mergeCell ref="A6:B6"/>
    <mergeCell ref="C6:D6"/>
  </mergeCells>
  <printOptions horizontalCentered="1" verticalCentered="1"/>
  <pageMargins left="0" right="0" top="0" bottom="0" header="0.31496062992125984" footer="0.31496062992125984"/>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8"/>
  <sheetViews>
    <sheetView workbookViewId="0">
      <selection activeCell="H10" sqref="H10"/>
    </sheetView>
  </sheetViews>
  <sheetFormatPr baseColWidth="10" defaultColWidth="11.44140625" defaultRowHeight="13.2" x14ac:dyDescent="0.25"/>
  <cols>
    <col min="1" max="1" width="38.5546875" style="108" customWidth="1"/>
    <col min="2" max="2" width="14.44140625" style="108" customWidth="1"/>
    <col min="3" max="3" width="26" style="108" bestFit="1" customWidth="1"/>
    <col min="4" max="4" width="14.6640625" style="108" customWidth="1"/>
    <col min="5" max="16384" width="11.44140625" style="108"/>
  </cols>
  <sheetData>
    <row r="1" spans="1:4" ht="24.6" x14ac:dyDescent="0.4">
      <c r="A1" s="176" t="s">
        <v>166</v>
      </c>
      <c r="B1" s="176"/>
      <c r="C1" s="176"/>
      <c r="D1" s="176"/>
    </row>
    <row r="2" spans="1:4" ht="13.8" x14ac:dyDescent="0.3">
      <c r="A2" s="177" t="s">
        <v>92</v>
      </c>
      <c r="B2" s="177"/>
      <c r="C2" s="177"/>
      <c r="D2" s="177"/>
    </row>
    <row r="3" spans="1:4" x14ac:dyDescent="0.25">
      <c r="A3" s="178" t="s">
        <v>93</v>
      </c>
      <c r="B3" s="178"/>
      <c r="C3" s="178"/>
      <c r="D3" s="178"/>
    </row>
    <row r="4" spans="1:4" ht="16.2" thickBot="1" x14ac:dyDescent="0.35">
      <c r="A4" s="170" t="s">
        <v>176</v>
      </c>
      <c r="B4" s="133" t="str">
        <f>Base!Y2</f>
        <v>PREVISION</v>
      </c>
      <c r="C4" s="133" t="str">
        <f>Base!Y3</f>
        <v>2024-2025</v>
      </c>
      <c r="D4" s="133"/>
    </row>
    <row r="5" spans="1:4" ht="13.8" thickBot="1" x14ac:dyDescent="0.3">
      <c r="A5" s="109" t="s">
        <v>94</v>
      </c>
      <c r="B5" s="110" t="s">
        <v>95</v>
      </c>
      <c r="C5" s="110" t="s">
        <v>96</v>
      </c>
      <c r="D5" s="110" t="s">
        <v>97</v>
      </c>
    </row>
    <row r="6" spans="1:4" ht="13.8" thickBot="1" x14ac:dyDescent="0.3">
      <c r="A6" s="179" t="s">
        <v>98</v>
      </c>
      <c r="B6" s="180"/>
      <c r="C6" s="181" t="s">
        <v>99</v>
      </c>
      <c r="D6" s="182"/>
    </row>
    <row r="7" spans="1:4" s="115" customFormat="1" ht="21" thickBot="1" x14ac:dyDescent="0.3">
      <c r="A7" s="111" t="s">
        <v>100</v>
      </c>
      <c r="B7" s="112"/>
      <c r="C7" s="113" t="s">
        <v>101</v>
      </c>
      <c r="D7" s="114"/>
    </row>
    <row r="8" spans="1:4" s="115" customFormat="1" ht="16.2" thickBot="1" x14ac:dyDescent="0.3">
      <c r="A8" s="116" t="s">
        <v>102</v>
      </c>
      <c r="B8" s="117">
        <f>Base!Y41-Base!Y42</f>
        <v>4000</v>
      </c>
      <c r="C8" s="141" t="s">
        <v>102</v>
      </c>
      <c r="D8" s="117">
        <f>D37-D27-D19</f>
        <v>19010</v>
      </c>
    </row>
    <row r="9" spans="1:4" s="115" customFormat="1" ht="16.2" thickBot="1" x14ac:dyDescent="0.3">
      <c r="A9" s="116" t="s">
        <v>103</v>
      </c>
      <c r="B9" s="117">
        <f>Base!Y52+Base!Y29+Base!Y31</f>
        <v>4100</v>
      </c>
      <c r="C9" s="113" t="s">
        <v>104</v>
      </c>
      <c r="D9" s="118"/>
    </row>
    <row r="10" spans="1:4" s="115" customFormat="1" ht="16.2" thickBot="1" x14ac:dyDescent="0.3">
      <c r="A10" s="116" t="s">
        <v>105</v>
      </c>
      <c r="B10" s="117"/>
      <c r="C10" s="112" t="s">
        <v>106</v>
      </c>
      <c r="D10" s="117"/>
    </row>
    <row r="11" spans="1:4" s="115" customFormat="1" ht="16.2" thickBot="1" x14ac:dyDescent="0.3">
      <c r="A11" s="111" t="s">
        <v>107</v>
      </c>
      <c r="B11" s="118"/>
      <c r="C11" s="119" t="s">
        <v>108</v>
      </c>
      <c r="D11" s="117"/>
    </row>
    <row r="12" spans="1:4" s="115" customFormat="1" ht="16.2" thickBot="1" x14ac:dyDescent="0.3">
      <c r="A12" s="116" t="s">
        <v>109</v>
      </c>
      <c r="B12" s="117"/>
      <c r="C12" s="112" t="s">
        <v>108</v>
      </c>
      <c r="D12" s="117"/>
    </row>
    <row r="13" spans="1:4" s="115" customFormat="1" ht="16.2" thickBot="1" x14ac:dyDescent="0.3">
      <c r="A13" s="116" t="s">
        <v>110</v>
      </c>
      <c r="B13" s="117"/>
      <c r="C13" s="112" t="s">
        <v>111</v>
      </c>
      <c r="D13" s="117"/>
    </row>
    <row r="14" spans="1:4" s="115" customFormat="1" ht="16.2" thickBot="1" x14ac:dyDescent="0.3">
      <c r="A14" s="116" t="s">
        <v>112</v>
      </c>
      <c r="B14" s="117"/>
      <c r="C14" s="112" t="s">
        <v>108</v>
      </c>
      <c r="D14" s="117"/>
    </row>
    <row r="15" spans="1:4" s="115" customFormat="1" ht="16.2" thickBot="1" x14ac:dyDescent="0.3">
      <c r="A15" s="116" t="s">
        <v>113</v>
      </c>
      <c r="B15" s="117"/>
      <c r="C15" s="112" t="s">
        <v>114</v>
      </c>
      <c r="D15" s="117"/>
    </row>
    <row r="16" spans="1:4" s="115" customFormat="1" ht="16.2" thickBot="1" x14ac:dyDescent="0.3">
      <c r="A16" s="111" t="s">
        <v>115</v>
      </c>
      <c r="B16" s="118"/>
      <c r="C16" s="114"/>
      <c r="D16" s="117"/>
    </row>
    <row r="17" spans="1:7" s="115" customFormat="1" ht="16.2" thickBot="1" x14ac:dyDescent="0.3">
      <c r="A17" s="116" t="s">
        <v>116</v>
      </c>
      <c r="B17" s="117"/>
      <c r="C17" s="112" t="s">
        <v>117</v>
      </c>
      <c r="D17" s="117"/>
    </row>
    <row r="18" spans="1:7" s="115" customFormat="1" ht="16.2" thickBot="1" x14ac:dyDescent="0.3">
      <c r="A18" s="116" t="s">
        <v>118</v>
      </c>
      <c r="B18" s="117">
        <f>Base!Y43</f>
        <v>200</v>
      </c>
      <c r="C18" s="112" t="s">
        <v>108</v>
      </c>
      <c r="D18" s="117"/>
    </row>
    <row r="19" spans="1:7" s="115" customFormat="1" ht="16.2" thickBot="1" x14ac:dyDescent="0.3">
      <c r="A19" s="116" t="s">
        <v>119</v>
      </c>
      <c r="B19" s="117">
        <f>B37-B20-B18-B8-B9:C9</f>
        <v>9901.1699999999983</v>
      </c>
      <c r="C19" s="112" t="s">
        <v>120</v>
      </c>
      <c r="D19" s="117">
        <f>Base!Y14-'Prévision pour MAIRIE'!D27</f>
        <v>1500</v>
      </c>
      <c r="F19" s="132">
        <f>B8+B9+B18+B19+B20</f>
        <v>21010</v>
      </c>
      <c r="G19" s="132">
        <f>D8+D19+D27</f>
        <v>21010</v>
      </c>
    </row>
    <row r="20" spans="1:7" s="115" customFormat="1" ht="16.2" thickBot="1" x14ac:dyDescent="0.3">
      <c r="A20" s="116" t="s">
        <v>121</v>
      </c>
      <c r="B20" s="117">
        <f>Base!Y33+Base!Y36+Base!Y40+Base!Y53+Base!S54</f>
        <v>2808.83</v>
      </c>
      <c r="C20" s="119" t="s">
        <v>108</v>
      </c>
      <c r="D20" s="117"/>
    </row>
    <row r="21" spans="1:7" s="115" customFormat="1" ht="16.2" thickBot="1" x14ac:dyDescent="0.3">
      <c r="A21" s="111" t="s">
        <v>122</v>
      </c>
      <c r="B21" s="118"/>
      <c r="C21" s="112" t="s">
        <v>123</v>
      </c>
      <c r="D21" s="117"/>
    </row>
    <row r="22" spans="1:7" s="115" customFormat="1" ht="16.2" thickBot="1" x14ac:dyDescent="0.3">
      <c r="A22" s="116" t="s">
        <v>124</v>
      </c>
      <c r="B22" s="117"/>
      <c r="C22" s="112" t="s">
        <v>108</v>
      </c>
      <c r="D22" s="117"/>
    </row>
    <row r="23" spans="1:7" s="115" customFormat="1" ht="16.2" thickBot="1" x14ac:dyDescent="0.3">
      <c r="A23" s="116" t="s">
        <v>125</v>
      </c>
      <c r="B23" s="117"/>
      <c r="C23" s="112" t="s">
        <v>126</v>
      </c>
      <c r="D23" s="117"/>
    </row>
    <row r="24" spans="1:7" s="115" customFormat="1" ht="16.2" thickBot="1" x14ac:dyDescent="0.3">
      <c r="A24" s="111" t="s">
        <v>127</v>
      </c>
      <c r="B24" s="118"/>
      <c r="C24" s="112" t="s">
        <v>108</v>
      </c>
      <c r="D24" s="117"/>
    </row>
    <row r="25" spans="1:7" s="115" customFormat="1" ht="21" thickBot="1" x14ac:dyDescent="0.3">
      <c r="A25" s="116" t="s">
        <v>128</v>
      </c>
      <c r="B25" s="117"/>
      <c r="C25" s="112" t="s">
        <v>129</v>
      </c>
      <c r="D25" s="117"/>
    </row>
    <row r="26" spans="1:7" s="115" customFormat="1" ht="16.2" thickBot="1" x14ac:dyDescent="0.3">
      <c r="A26" s="116" t="s">
        <v>130</v>
      </c>
      <c r="B26" s="117"/>
      <c r="C26" s="112" t="s">
        <v>131</v>
      </c>
      <c r="D26" s="117"/>
    </row>
    <row r="27" spans="1:7" s="115" customFormat="1" ht="16.2" thickBot="1" x14ac:dyDescent="0.3">
      <c r="A27" s="116" t="s">
        <v>132</v>
      </c>
      <c r="B27" s="117"/>
      <c r="C27" s="112" t="s">
        <v>133</v>
      </c>
      <c r="D27" s="117">
        <f>Base!Y15</f>
        <v>500</v>
      </c>
    </row>
    <row r="28" spans="1:7" s="115" customFormat="1" ht="16.2" thickBot="1" x14ac:dyDescent="0.3">
      <c r="A28" s="111" t="s">
        <v>134</v>
      </c>
      <c r="B28" s="117"/>
      <c r="C28" s="113" t="s">
        <v>135</v>
      </c>
      <c r="D28" s="117"/>
    </row>
    <row r="29" spans="1:7" s="115" customFormat="1" ht="16.2" thickBot="1" x14ac:dyDescent="0.3">
      <c r="A29" s="111" t="s">
        <v>136</v>
      </c>
      <c r="B29" s="117"/>
      <c r="C29" s="112" t="s">
        <v>137</v>
      </c>
      <c r="D29" s="117"/>
    </row>
    <row r="30" spans="1:7" s="115" customFormat="1" ht="16.2" thickBot="1" x14ac:dyDescent="0.3">
      <c r="A30" s="111" t="s">
        <v>138</v>
      </c>
      <c r="B30" s="117"/>
      <c r="C30" s="113" t="s">
        <v>139</v>
      </c>
      <c r="D30" s="117"/>
    </row>
    <row r="31" spans="1:7" s="115" customFormat="1" x14ac:dyDescent="0.25">
      <c r="A31" s="183" t="s">
        <v>140</v>
      </c>
      <c r="B31" s="185"/>
      <c r="C31" s="120" t="s">
        <v>141</v>
      </c>
      <c r="D31" s="185"/>
    </row>
    <row r="32" spans="1:7" s="115" customFormat="1" ht="13.8" thickBot="1" x14ac:dyDescent="0.3">
      <c r="A32" s="184"/>
      <c r="B32" s="186"/>
      <c r="C32" s="113" t="s">
        <v>142</v>
      </c>
      <c r="D32" s="186"/>
    </row>
    <row r="33" spans="1:8" s="115" customFormat="1" ht="16.2" thickBot="1" x14ac:dyDescent="0.3">
      <c r="A33" s="121" t="s">
        <v>143</v>
      </c>
      <c r="B33" s="122"/>
      <c r="C33" s="123"/>
      <c r="D33" s="124"/>
    </row>
    <row r="34" spans="1:8" s="115" customFormat="1" ht="16.2" thickBot="1" x14ac:dyDescent="0.3">
      <c r="A34" s="111" t="s">
        <v>144</v>
      </c>
      <c r="B34" s="117"/>
      <c r="C34" s="114"/>
      <c r="D34" s="117"/>
    </row>
    <row r="35" spans="1:8" s="115" customFormat="1" ht="16.2" thickBot="1" x14ac:dyDescent="0.3">
      <c r="A35" s="111" t="s">
        <v>145</v>
      </c>
      <c r="B35" s="117">
        <f>'[1]Prévision N+1'!A59</f>
        <v>0</v>
      </c>
      <c r="C35" s="114"/>
      <c r="D35" s="117"/>
    </row>
    <row r="36" spans="1:8" s="115" customFormat="1" ht="16.2" thickBot="1" x14ac:dyDescent="0.3">
      <c r="A36" s="111" t="s">
        <v>146</v>
      </c>
      <c r="B36" s="117"/>
      <c r="C36" s="114"/>
      <c r="D36" s="117"/>
    </row>
    <row r="37" spans="1:8" s="115" customFormat="1" ht="16.2" thickBot="1" x14ac:dyDescent="0.3">
      <c r="A37" s="125" t="s">
        <v>147</v>
      </c>
      <c r="B37" s="126">
        <f>B44-B39</f>
        <v>21010</v>
      </c>
      <c r="C37" s="127" t="s">
        <v>148</v>
      </c>
      <c r="D37" s="126">
        <f>D44-D39</f>
        <v>21010</v>
      </c>
    </row>
    <row r="38" spans="1:8" s="115" customFormat="1" ht="13.8" thickBot="1" x14ac:dyDescent="0.3">
      <c r="A38" s="128" t="s">
        <v>149</v>
      </c>
      <c r="B38" s="129"/>
      <c r="C38" s="130"/>
      <c r="D38" s="131"/>
    </row>
    <row r="39" spans="1:8" s="115" customFormat="1" x14ac:dyDescent="0.25">
      <c r="A39" s="183" t="s">
        <v>150</v>
      </c>
      <c r="B39" s="185">
        <f>Base!Y46</f>
        <v>13000</v>
      </c>
      <c r="C39" s="189" t="s">
        <v>151</v>
      </c>
      <c r="D39" s="185">
        <f>B39</f>
        <v>13000</v>
      </c>
    </row>
    <row r="40" spans="1:8" s="115" customFormat="1" ht="13.8" thickBot="1" x14ac:dyDescent="0.3">
      <c r="A40" s="184"/>
      <c r="B40" s="186"/>
      <c r="C40" s="190"/>
      <c r="D40" s="186"/>
    </row>
    <row r="41" spans="1:8" s="115" customFormat="1" ht="16.2" thickBot="1" x14ac:dyDescent="0.3">
      <c r="A41" s="116" t="s">
        <v>152</v>
      </c>
      <c r="B41" s="117"/>
      <c r="C41" s="112" t="s">
        <v>153</v>
      </c>
      <c r="D41" s="117"/>
    </row>
    <row r="42" spans="1:8" s="115" customFormat="1" ht="16.2" thickBot="1" x14ac:dyDescent="0.3">
      <c r="A42" s="116" t="s">
        <v>154</v>
      </c>
      <c r="B42" s="117"/>
      <c r="C42" s="112" t="s">
        <v>155</v>
      </c>
      <c r="D42" s="117"/>
    </row>
    <row r="43" spans="1:8" s="115" customFormat="1" ht="16.2" thickBot="1" x14ac:dyDescent="0.3">
      <c r="A43" s="116" t="s">
        <v>156</v>
      </c>
      <c r="B43" s="117"/>
      <c r="C43" s="112" t="s">
        <v>157</v>
      </c>
      <c r="D43" s="117"/>
    </row>
    <row r="44" spans="1:8" s="115" customFormat="1" ht="16.2" thickBot="1" x14ac:dyDescent="0.3">
      <c r="A44" s="111" t="s">
        <v>158</v>
      </c>
      <c r="B44" s="126">
        <f>Base!Y57</f>
        <v>34010</v>
      </c>
      <c r="C44" s="113" t="s">
        <v>158</v>
      </c>
      <c r="D44" s="126">
        <f>Base!Y26</f>
        <v>34010</v>
      </c>
      <c r="H44" s="132"/>
    </row>
    <row r="45" spans="1:8" x14ac:dyDescent="0.25">
      <c r="A45" s="191" t="s">
        <v>159</v>
      </c>
      <c r="B45" s="191"/>
      <c r="C45" s="191"/>
      <c r="D45" s="191"/>
    </row>
    <row r="46" spans="1:8" ht="31.5" customHeight="1" x14ac:dyDescent="0.25">
      <c r="A46" s="188" t="s">
        <v>160</v>
      </c>
      <c r="B46" s="188"/>
      <c r="C46" s="188"/>
      <c r="D46" s="188"/>
    </row>
    <row r="47" spans="1:8" ht="24.75" customHeight="1" x14ac:dyDescent="0.25">
      <c r="A47" s="187" t="s">
        <v>161</v>
      </c>
      <c r="B47" s="187"/>
      <c r="C47" s="187"/>
      <c r="D47" s="187"/>
    </row>
    <row r="48" spans="1:8" ht="23.25" customHeight="1" x14ac:dyDescent="0.25">
      <c r="A48" s="188" t="s">
        <v>162</v>
      </c>
      <c r="B48" s="188"/>
      <c r="C48" s="188"/>
      <c r="D48" s="188"/>
    </row>
  </sheetData>
  <mergeCells count="16">
    <mergeCell ref="A31:A32"/>
    <mergeCell ref="B31:B32"/>
    <mergeCell ref="D31:D32"/>
    <mergeCell ref="A47:D47"/>
    <mergeCell ref="A48:D48"/>
    <mergeCell ref="A39:A40"/>
    <mergeCell ref="B39:B40"/>
    <mergeCell ref="C39:C40"/>
    <mergeCell ref="D39:D40"/>
    <mergeCell ref="A45:D45"/>
    <mergeCell ref="A46:D46"/>
    <mergeCell ref="A1:D1"/>
    <mergeCell ref="A2:D2"/>
    <mergeCell ref="A3:D3"/>
    <mergeCell ref="A6:B6"/>
    <mergeCell ref="C6:D6"/>
  </mergeCells>
  <phoneticPr fontId="0" type="noConversion"/>
  <printOptions horizontalCentered="1" verticalCentered="1"/>
  <pageMargins left="0" right="0" top="0" bottom="0"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Base</vt:lpstr>
      <vt:lpstr>Budget</vt:lpstr>
      <vt:lpstr>Prévision pour MAIRIE</vt:lpstr>
      <vt:lpstr>Base!Zone_d_impression</vt:lpstr>
      <vt:lpstr>'Prévision pour MAIRIE'!Zone_d_impression</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m.Lingr.</dc:creator>
  <cp:lastModifiedBy>françois Oswald</cp:lastModifiedBy>
  <cp:lastPrinted>2022-07-14T07:49:11Z</cp:lastPrinted>
  <dcterms:created xsi:type="dcterms:W3CDTF">2001-10-25T07:55:14Z</dcterms:created>
  <dcterms:modified xsi:type="dcterms:W3CDTF">2024-08-30T09:07:55Z</dcterms:modified>
</cp:coreProperties>
</file>